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4.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5.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6.xml" ContentType="application/vnd.openxmlformats-officedocument.drawing+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drawings/drawing7.xml" ContentType="application/vnd.openxmlformats-officedocument.drawing+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drawings/drawing8.xml" ContentType="application/vnd.openxmlformats-officedocument.drawing+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drawings/drawing9.xml" ContentType="application/vnd.openxmlformats-officedocument.drawing+xml"/>
  <Override PartName="/xl/charts/chart34.xml" ContentType="application/vnd.openxmlformats-officedocument.drawingml.chart+xml"/>
  <Override PartName="/xl/charts/style34.xml" ContentType="application/vnd.ms-office.chartstyle+xml"/>
  <Override PartName="/xl/charts/colors34.xml" ContentType="application/vnd.ms-office.chartcolorstyle+xml"/>
  <Override PartName="/xl/charts/chart35.xml" ContentType="application/vnd.openxmlformats-officedocument.drawingml.chart+xml"/>
  <Override PartName="/xl/charts/style35.xml" ContentType="application/vnd.ms-office.chartstyle+xml"/>
  <Override PartName="/xl/charts/colors35.xml" ContentType="application/vnd.ms-office.chartcolorstyle+xml"/>
  <Override PartName="/xl/charts/chart36.xml" ContentType="application/vnd.openxmlformats-officedocument.drawingml.chart+xml"/>
  <Override PartName="/xl/charts/style36.xml" ContentType="application/vnd.ms-office.chartstyle+xml"/>
  <Override PartName="/xl/charts/colors36.xml" ContentType="application/vnd.ms-office.chartcolorstyle+xml"/>
  <Override PartName="/xl/charts/chart37.xml" ContentType="application/vnd.openxmlformats-officedocument.drawingml.chart+xml"/>
  <Override PartName="/xl/charts/style37.xml" ContentType="application/vnd.ms-office.chartstyle+xml"/>
  <Override PartName="/xl/charts/colors37.xml" ContentType="application/vnd.ms-office.chartcolorstyle+xml"/>
  <Override PartName="/xl/charts/chart38.xml" ContentType="application/vnd.openxmlformats-officedocument.drawingml.chart+xml"/>
  <Override PartName="/xl/charts/style38.xml" ContentType="application/vnd.ms-office.chartstyle+xml"/>
  <Override PartName="/xl/charts/colors38.xml" ContentType="application/vnd.ms-office.chartcolorstyle+xml"/>
  <Override PartName="/xl/charts/chart39.xml" ContentType="application/vnd.openxmlformats-officedocument.drawingml.chart+xml"/>
  <Override PartName="/xl/charts/style39.xml" ContentType="application/vnd.ms-office.chartstyle+xml"/>
  <Override PartName="/xl/charts/colors39.xml" ContentType="application/vnd.ms-office.chartcolorstyle+xml"/>
  <Override PartName="/xl/drawings/drawing10.xml" ContentType="application/vnd.openxmlformats-officedocument.drawing+xml"/>
  <Override PartName="/xl/charts/chart40.xml" ContentType="application/vnd.openxmlformats-officedocument.drawingml.chart+xml"/>
  <Override PartName="/xl/charts/style40.xml" ContentType="application/vnd.ms-office.chartstyle+xml"/>
  <Override PartName="/xl/charts/colors40.xml" ContentType="application/vnd.ms-office.chartcolorstyle+xml"/>
  <Override PartName="/xl/charts/chart41.xml" ContentType="application/vnd.openxmlformats-officedocument.drawingml.chart+xml"/>
  <Override PartName="/xl/charts/style41.xml" ContentType="application/vnd.ms-office.chartstyle+xml"/>
  <Override PartName="/xl/charts/colors41.xml" ContentType="application/vnd.ms-office.chartcolorstyle+xml"/>
  <Override PartName="/xl/charts/chart42.xml" ContentType="application/vnd.openxmlformats-officedocument.drawingml.chart+xml"/>
  <Override PartName="/xl/charts/style42.xml" ContentType="application/vnd.ms-office.chartstyle+xml"/>
  <Override PartName="/xl/charts/colors42.xml" ContentType="application/vnd.ms-office.chartcolorstyle+xml"/>
  <Override PartName="/xl/charts/chart43.xml" ContentType="application/vnd.openxmlformats-officedocument.drawingml.chart+xml"/>
  <Override PartName="/xl/charts/style43.xml" ContentType="application/vnd.ms-office.chartstyle+xml"/>
  <Override PartName="/xl/charts/colors43.xml" ContentType="application/vnd.ms-office.chartcolorstyle+xml"/>
  <Override PartName="/xl/drawings/drawing11.xml" ContentType="application/vnd.openxmlformats-officedocument.drawing+xml"/>
  <Override PartName="/xl/charts/chart44.xml" ContentType="application/vnd.openxmlformats-officedocument.drawingml.chart+xml"/>
  <Override PartName="/xl/charts/style44.xml" ContentType="application/vnd.ms-office.chartstyle+xml"/>
  <Override PartName="/xl/charts/colors44.xml" ContentType="application/vnd.ms-office.chartcolorstyle+xml"/>
  <Override PartName="/xl/charts/chart45.xml" ContentType="application/vnd.openxmlformats-officedocument.drawingml.chart+xml"/>
  <Override PartName="/xl/charts/style45.xml" ContentType="application/vnd.ms-office.chartstyle+xml"/>
  <Override PartName="/xl/charts/colors45.xml" ContentType="application/vnd.ms-office.chartcolorstyle+xml"/>
  <Override PartName="/xl/charts/chart46.xml" ContentType="application/vnd.openxmlformats-officedocument.drawingml.chart+xml"/>
  <Override PartName="/xl/charts/style46.xml" ContentType="application/vnd.ms-office.chartstyle+xml"/>
  <Override PartName="/xl/charts/colors46.xml" ContentType="application/vnd.ms-office.chartcolorstyle+xml"/>
  <Override PartName="/xl/drawings/drawing12.xml" ContentType="application/vnd.openxmlformats-officedocument.drawing+xml"/>
  <Override PartName="/xl/charts/chart47.xml" ContentType="application/vnd.openxmlformats-officedocument.drawingml.chart+xml"/>
  <Override PartName="/xl/charts/style47.xml" ContentType="application/vnd.ms-office.chartstyle+xml"/>
  <Override PartName="/xl/charts/colors47.xml" ContentType="application/vnd.ms-office.chartcolorstyle+xml"/>
  <Override PartName="/xl/charts/chart48.xml" ContentType="application/vnd.openxmlformats-officedocument.drawingml.chart+xml"/>
  <Override PartName="/xl/charts/style48.xml" ContentType="application/vnd.ms-office.chartstyle+xml"/>
  <Override PartName="/xl/charts/colors48.xml" ContentType="application/vnd.ms-office.chartcolorstyle+xml"/>
  <Override PartName="/xl/charts/chart49.xml" ContentType="application/vnd.openxmlformats-officedocument.drawingml.chart+xml"/>
  <Override PartName="/xl/charts/style49.xml" ContentType="application/vnd.ms-office.chartstyle+xml"/>
  <Override PartName="/xl/charts/colors49.xml" ContentType="application/vnd.ms-office.chartcolorstyle+xml"/>
  <Override PartName="/xl/charts/chart50.xml" ContentType="application/vnd.openxmlformats-officedocument.drawingml.chart+xml"/>
  <Override PartName="/xl/charts/style50.xml" ContentType="application/vnd.ms-office.chartstyle+xml"/>
  <Override PartName="/xl/charts/colors50.xml" ContentType="application/vnd.ms-office.chartcolorstyle+xml"/>
  <Override PartName="/xl/charts/chart51.xml" ContentType="application/vnd.openxmlformats-officedocument.drawingml.chart+xml"/>
  <Override PartName="/xl/charts/style51.xml" ContentType="application/vnd.ms-office.chartstyle+xml"/>
  <Override PartName="/xl/charts/colors51.xml" ContentType="application/vnd.ms-office.chartcolorstyle+xml"/>
  <Override PartName="/xl/charts/chart52.xml" ContentType="application/vnd.openxmlformats-officedocument.drawingml.chart+xml"/>
  <Override PartName="/xl/charts/style52.xml" ContentType="application/vnd.ms-office.chartstyle+xml"/>
  <Override PartName="/xl/charts/colors52.xml" ContentType="application/vnd.ms-office.chartcolorstyle+xml"/>
  <Override PartName="/xl/charts/chart53.xml" ContentType="application/vnd.openxmlformats-officedocument.drawingml.chart+xml"/>
  <Override PartName="/xl/charts/style53.xml" ContentType="application/vnd.ms-office.chartstyle+xml"/>
  <Override PartName="/xl/charts/colors53.xml" ContentType="application/vnd.ms-office.chartcolorstyle+xml"/>
  <Override PartName="/xl/charts/chart54.xml" ContentType="application/vnd.openxmlformats-officedocument.drawingml.chart+xml"/>
  <Override PartName="/xl/charts/style54.xml" ContentType="application/vnd.ms-office.chartstyle+xml"/>
  <Override PartName="/xl/charts/colors54.xml" ContentType="application/vnd.ms-office.chartcolorstyle+xml"/>
  <Override PartName="/xl/charts/chart55.xml" ContentType="application/vnd.openxmlformats-officedocument.drawingml.chart+xml"/>
  <Override PartName="/xl/charts/style55.xml" ContentType="application/vnd.ms-office.chartstyle+xml"/>
  <Override PartName="/xl/charts/colors55.xml" ContentType="application/vnd.ms-office.chartcolorstyle+xml"/>
  <Override PartName="/xl/charts/chart56.xml" ContentType="application/vnd.openxmlformats-officedocument.drawingml.chart+xml"/>
  <Override PartName="/xl/charts/style56.xml" ContentType="application/vnd.ms-office.chartstyle+xml"/>
  <Override PartName="/xl/charts/colors56.xml" ContentType="application/vnd.ms-office.chartcolorstyle+xml"/>
  <Override PartName="/xl/charts/chart57.xml" ContentType="application/vnd.openxmlformats-officedocument.drawingml.chart+xml"/>
  <Override PartName="/xl/charts/style57.xml" ContentType="application/vnd.ms-office.chartstyle+xml"/>
  <Override PartName="/xl/charts/colors57.xml" ContentType="application/vnd.ms-office.chartcolorstyle+xml"/>
  <Override PartName="/xl/charts/chart58.xml" ContentType="application/vnd.openxmlformats-officedocument.drawingml.chart+xml"/>
  <Override PartName="/xl/charts/style58.xml" ContentType="application/vnd.ms-office.chartstyle+xml"/>
  <Override PartName="/xl/charts/colors58.xml" ContentType="application/vnd.ms-office.chartcolorstyle+xml"/>
  <Override PartName="/xl/charts/chart59.xml" ContentType="application/vnd.openxmlformats-officedocument.drawingml.chart+xml"/>
  <Override PartName="/xl/charts/style59.xml" ContentType="application/vnd.ms-office.chartstyle+xml"/>
  <Override PartName="/xl/charts/colors59.xml" ContentType="application/vnd.ms-office.chartcolorstyle+xml"/>
  <Override PartName="/xl/charts/chart60.xml" ContentType="application/vnd.openxmlformats-officedocument.drawingml.chart+xml"/>
  <Override PartName="/xl/charts/style60.xml" ContentType="application/vnd.ms-office.chartstyle+xml"/>
  <Override PartName="/xl/charts/colors60.xml" ContentType="application/vnd.ms-office.chartcolorstyle+xml"/>
  <Override PartName="/xl/charts/chart61.xml" ContentType="application/vnd.openxmlformats-officedocument.drawingml.chart+xml"/>
  <Override PartName="/xl/charts/style61.xml" ContentType="application/vnd.ms-office.chartstyle+xml"/>
  <Override PartName="/xl/charts/colors61.xml" ContentType="application/vnd.ms-office.chartcolorstyle+xml"/>
  <Override PartName="/xl/charts/chart62.xml" ContentType="application/vnd.openxmlformats-officedocument.drawingml.chart+xml"/>
  <Override PartName="/xl/charts/style62.xml" ContentType="application/vnd.ms-office.chartstyle+xml"/>
  <Override PartName="/xl/charts/colors62.xml" ContentType="application/vnd.ms-office.chartcolorstyle+xml"/>
  <Override PartName="/xl/drawings/drawing13.xml" ContentType="application/vnd.openxmlformats-officedocument.drawing+xml"/>
  <Override PartName="/xl/charts/chart63.xml" ContentType="application/vnd.openxmlformats-officedocument.drawingml.chart+xml"/>
  <Override PartName="/xl/charts/style63.xml" ContentType="application/vnd.ms-office.chartstyle+xml"/>
  <Override PartName="/xl/charts/colors63.xml" ContentType="application/vnd.ms-office.chartcolorstyle+xml"/>
  <Override PartName="/xl/charts/chart64.xml" ContentType="application/vnd.openxmlformats-officedocument.drawingml.chart+xml"/>
  <Override PartName="/xl/charts/style64.xml" ContentType="application/vnd.ms-office.chartstyle+xml"/>
  <Override PartName="/xl/charts/colors64.xml" ContentType="application/vnd.ms-office.chartcolorstyle+xml"/>
  <Override PartName="/xl/charts/chart65.xml" ContentType="application/vnd.openxmlformats-officedocument.drawingml.chart+xml"/>
  <Override PartName="/xl/charts/style65.xml" ContentType="application/vnd.ms-office.chartstyle+xml"/>
  <Override PartName="/xl/charts/colors65.xml" ContentType="application/vnd.ms-office.chartcolorstyle+xml"/>
  <Override PartName="/xl/charts/chart66.xml" ContentType="application/vnd.openxmlformats-officedocument.drawingml.chart+xml"/>
  <Override PartName="/xl/charts/style66.xml" ContentType="application/vnd.ms-office.chartstyle+xml"/>
  <Override PartName="/xl/charts/colors66.xml" ContentType="application/vnd.ms-office.chartcolorstyle+xml"/>
  <Override PartName="/xl/charts/chart67.xml" ContentType="application/vnd.openxmlformats-officedocument.drawingml.chart+xml"/>
  <Override PartName="/xl/charts/style67.xml" ContentType="application/vnd.ms-office.chartstyle+xml"/>
  <Override PartName="/xl/charts/colors67.xml" ContentType="application/vnd.ms-office.chartcolorstyle+xml"/>
  <Override PartName="/xl/charts/chart68.xml" ContentType="application/vnd.openxmlformats-officedocument.drawingml.chart+xml"/>
  <Override PartName="/xl/charts/style68.xml" ContentType="application/vnd.ms-office.chartstyle+xml"/>
  <Override PartName="/xl/charts/colors68.xml" ContentType="application/vnd.ms-office.chartcolorstyle+xml"/>
  <Override PartName="/xl/charts/chart69.xml" ContentType="application/vnd.openxmlformats-officedocument.drawingml.chart+xml"/>
  <Override PartName="/xl/charts/style69.xml" ContentType="application/vnd.ms-office.chartstyle+xml"/>
  <Override PartName="/xl/charts/colors69.xml" ContentType="application/vnd.ms-office.chartcolorstyle+xml"/>
  <Override PartName="/xl/charts/chart70.xml" ContentType="application/vnd.openxmlformats-officedocument.drawingml.chart+xml"/>
  <Override PartName="/xl/charts/style70.xml" ContentType="application/vnd.ms-office.chartstyle+xml"/>
  <Override PartName="/xl/charts/colors70.xml" ContentType="application/vnd.ms-office.chartcolorstyle+xml"/>
  <Override PartName="/xl/charts/chart71.xml" ContentType="application/vnd.openxmlformats-officedocument.drawingml.chart+xml"/>
  <Override PartName="/xl/charts/style71.xml" ContentType="application/vnd.ms-office.chartstyle+xml"/>
  <Override PartName="/xl/charts/colors71.xml" ContentType="application/vnd.ms-office.chartcolorstyle+xml"/>
  <Override PartName="/xl/charts/chart72.xml" ContentType="application/vnd.openxmlformats-officedocument.drawingml.chart+xml"/>
  <Override PartName="/xl/charts/style72.xml" ContentType="application/vnd.ms-office.chartstyle+xml"/>
  <Override PartName="/xl/charts/colors72.xml" ContentType="application/vnd.ms-office.chartcolorstyle+xml"/>
  <Override PartName="/xl/charts/chart73.xml" ContentType="application/vnd.openxmlformats-officedocument.drawingml.chart+xml"/>
  <Override PartName="/xl/charts/style73.xml" ContentType="application/vnd.ms-office.chartstyle+xml"/>
  <Override PartName="/xl/charts/colors73.xml" ContentType="application/vnd.ms-office.chartcolorstyle+xml"/>
  <Override PartName="/xl/charts/chart74.xml" ContentType="application/vnd.openxmlformats-officedocument.drawingml.chart+xml"/>
  <Override PartName="/xl/charts/style74.xml" ContentType="application/vnd.ms-office.chartstyle+xml"/>
  <Override PartName="/xl/charts/colors74.xml" ContentType="application/vnd.ms-office.chartcolorstyle+xml"/>
  <Override PartName="/xl/charts/chart75.xml" ContentType="application/vnd.openxmlformats-officedocument.drawingml.chart+xml"/>
  <Override PartName="/xl/charts/style75.xml" ContentType="application/vnd.ms-office.chartstyle+xml"/>
  <Override PartName="/xl/charts/colors75.xml" ContentType="application/vnd.ms-office.chartcolorstyle+xml"/>
  <Override PartName="/xl/charts/chart76.xml" ContentType="application/vnd.openxmlformats-officedocument.drawingml.chart+xml"/>
  <Override PartName="/xl/charts/style76.xml" ContentType="application/vnd.ms-office.chartstyle+xml"/>
  <Override PartName="/xl/charts/colors76.xml" ContentType="application/vnd.ms-office.chartcolorstyle+xml"/>
  <Override PartName="/xl/charts/chart77.xml" ContentType="application/vnd.openxmlformats-officedocument.drawingml.chart+xml"/>
  <Override PartName="/xl/charts/style77.xml" ContentType="application/vnd.ms-office.chartstyle+xml"/>
  <Override PartName="/xl/charts/colors77.xml" ContentType="application/vnd.ms-office.chartcolorstyle+xml"/>
  <Override PartName="/xl/charts/chart78.xml" ContentType="application/vnd.openxmlformats-officedocument.drawingml.chart+xml"/>
  <Override PartName="/xl/charts/style78.xml" ContentType="application/vnd.ms-office.chartstyle+xml"/>
  <Override PartName="/xl/charts/colors78.xml" ContentType="application/vnd.ms-office.chartcolorstyle+xml"/>
  <Override PartName="/xl/drawings/drawing14.xml" ContentType="application/vnd.openxmlformats-officedocument.drawing+xml"/>
  <Override PartName="/xl/charts/chart79.xml" ContentType="application/vnd.openxmlformats-officedocument.drawingml.chart+xml"/>
  <Override PartName="/xl/charts/style79.xml" ContentType="application/vnd.ms-office.chartstyle+xml"/>
  <Override PartName="/xl/charts/colors79.xml" ContentType="application/vnd.ms-office.chartcolorstyle+xml"/>
  <Override PartName="/xl/charts/chart80.xml" ContentType="application/vnd.openxmlformats-officedocument.drawingml.chart+xml"/>
  <Override PartName="/xl/charts/style80.xml" ContentType="application/vnd.ms-office.chartstyle+xml"/>
  <Override PartName="/xl/charts/colors80.xml" ContentType="application/vnd.ms-office.chartcolorstyle+xml"/>
  <Override PartName="/xl/charts/chart81.xml" ContentType="application/vnd.openxmlformats-officedocument.drawingml.chart+xml"/>
  <Override PartName="/xl/charts/style81.xml" ContentType="application/vnd.ms-office.chartstyle+xml"/>
  <Override PartName="/xl/charts/colors81.xml" ContentType="application/vnd.ms-office.chartcolorstyle+xml"/>
  <Override PartName="/xl/charts/chart82.xml" ContentType="application/vnd.openxmlformats-officedocument.drawingml.chart+xml"/>
  <Override PartName="/xl/charts/style82.xml" ContentType="application/vnd.ms-office.chartstyle+xml"/>
  <Override PartName="/xl/charts/colors82.xml" ContentType="application/vnd.ms-office.chartcolorstyle+xml"/>
  <Override PartName="/xl/charts/chart83.xml" ContentType="application/vnd.openxmlformats-officedocument.drawingml.chart+xml"/>
  <Override PartName="/xl/charts/style83.xml" ContentType="application/vnd.ms-office.chartstyle+xml"/>
  <Override PartName="/xl/charts/colors83.xml" ContentType="application/vnd.ms-office.chartcolorstyle+xml"/>
  <Override PartName="/xl/charts/chart84.xml" ContentType="application/vnd.openxmlformats-officedocument.drawingml.chart+xml"/>
  <Override PartName="/xl/charts/style84.xml" ContentType="application/vnd.ms-office.chartstyle+xml"/>
  <Override PartName="/xl/charts/colors84.xml" ContentType="application/vnd.ms-office.chartcolorstyle+xml"/>
  <Override PartName="/xl/drawings/drawing15.xml" ContentType="application/vnd.openxmlformats-officedocument.drawing+xml"/>
  <Override PartName="/xl/charts/chart85.xml" ContentType="application/vnd.openxmlformats-officedocument.drawingml.chart+xml"/>
  <Override PartName="/xl/charts/style85.xml" ContentType="application/vnd.ms-office.chartstyle+xml"/>
  <Override PartName="/xl/charts/colors85.xml" ContentType="application/vnd.ms-office.chartcolorstyle+xml"/>
  <Override PartName="/xl/charts/chart86.xml" ContentType="application/vnd.openxmlformats-officedocument.drawingml.chart+xml"/>
  <Override PartName="/xl/charts/style86.xml" ContentType="application/vnd.ms-office.chartstyle+xml"/>
  <Override PartName="/xl/charts/colors86.xml" ContentType="application/vnd.ms-office.chartcolorstyle+xml"/>
  <Override PartName="/xl/charts/chart87.xml" ContentType="application/vnd.openxmlformats-officedocument.drawingml.chart+xml"/>
  <Override PartName="/xl/charts/style87.xml" ContentType="application/vnd.ms-office.chartstyle+xml"/>
  <Override PartName="/xl/charts/colors87.xml" ContentType="application/vnd.ms-office.chartcolorstyle+xml"/>
  <Override PartName="/xl/charts/chart88.xml" ContentType="application/vnd.openxmlformats-officedocument.drawingml.chart+xml"/>
  <Override PartName="/xl/charts/style88.xml" ContentType="application/vnd.ms-office.chartstyle+xml"/>
  <Override PartName="/xl/charts/colors88.xml" ContentType="application/vnd.ms-office.chartcolorstyle+xml"/>
  <Override PartName="/xl/charts/chart89.xml" ContentType="application/vnd.openxmlformats-officedocument.drawingml.chart+xml"/>
  <Override PartName="/xl/charts/style89.xml" ContentType="application/vnd.ms-office.chartstyle+xml"/>
  <Override PartName="/xl/charts/colors89.xml" ContentType="application/vnd.ms-office.chartcolorstyle+xml"/>
  <Override PartName="/xl/charts/chart90.xml" ContentType="application/vnd.openxmlformats-officedocument.drawingml.chart+xml"/>
  <Override PartName="/xl/charts/style90.xml" ContentType="application/vnd.ms-office.chartstyle+xml"/>
  <Override PartName="/xl/charts/colors90.xml" ContentType="application/vnd.ms-office.chartcolorstyle+xml"/>
  <Override PartName="/xl/drawings/drawing16.xml" ContentType="application/vnd.openxmlformats-officedocument.drawing+xml"/>
  <Override PartName="/xl/charts/chart91.xml" ContentType="application/vnd.openxmlformats-officedocument.drawingml.chart+xml"/>
  <Override PartName="/xl/charts/style91.xml" ContentType="application/vnd.ms-office.chartstyle+xml"/>
  <Override PartName="/xl/charts/colors91.xml" ContentType="application/vnd.ms-office.chartcolorstyle+xml"/>
  <Override PartName="/xl/charts/chart92.xml" ContentType="application/vnd.openxmlformats-officedocument.drawingml.chart+xml"/>
  <Override PartName="/xl/charts/style92.xml" ContentType="application/vnd.ms-office.chartstyle+xml"/>
  <Override PartName="/xl/charts/colors92.xml" ContentType="application/vnd.ms-office.chartcolorstyle+xml"/>
  <Override PartName="/xl/charts/chart93.xml" ContentType="application/vnd.openxmlformats-officedocument.drawingml.chart+xml"/>
  <Override PartName="/xl/charts/style93.xml" ContentType="application/vnd.ms-office.chartstyle+xml"/>
  <Override PartName="/xl/charts/colors93.xml" ContentType="application/vnd.ms-office.chartcolorstyle+xml"/>
  <Override PartName="/xl/charts/chart94.xml" ContentType="application/vnd.openxmlformats-officedocument.drawingml.chart+xml"/>
  <Override PartName="/xl/charts/style94.xml" ContentType="application/vnd.ms-office.chartstyle+xml"/>
  <Override PartName="/xl/charts/colors94.xml" ContentType="application/vnd.ms-office.chartcolorstyle+xml"/>
  <Override PartName="/xl/charts/chart95.xml" ContentType="application/vnd.openxmlformats-officedocument.drawingml.chart+xml"/>
  <Override PartName="/xl/charts/style95.xml" ContentType="application/vnd.ms-office.chartstyle+xml"/>
  <Override PartName="/xl/charts/colors95.xml" ContentType="application/vnd.ms-office.chartcolorstyle+xml"/>
  <Override PartName="/xl/charts/chart96.xml" ContentType="application/vnd.openxmlformats-officedocument.drawingml.chart+xml"/>
  <Override PartName="/xl/charts/style96.xml" ContentType="application/vnd.ms-office.chartstyle+xml"/>
  <Override PartName="/xl/charts/colors96.xml" ContentType="application/vnd.ms-office.chartcolorstyle+xml"/>
  <Override PartName="/xl/drawings/drawing17.xml" ContentType="application/vnd.openxmlformats-officedocument.drawing+xml"/>
  <Override PartName="/xl/charts/chart97.xml" ContentType="application/vnd.openxmlformats-officedocument.drawingml.chart+xml"/>
  <Override PartName="/xl/charts/style97.xml" ContentType="application/vnd.ms-office.chartstyle+xml"/>
  <Override PartName="/xl/charts/colors97.xml" ContentType="application/vnd.ms-office.chartcolorstyle+xml"/>
  <Override PartName="/xl/charts/chart98.xml" ContentType="application/vnd.openxmlformats-officedocument.drawingml.chart+xml"/>
  <Override PartName="/xl/charts/style98.xml" ContentType="application/vnd.ms-office.chartstyle+xml"/>
  <Override PartName="/xl/charts/colors98.xml" ContentType="application/vnd.ms-office.chartcolorstyle+xml"/>
  <Override PartName="/xl/charts/chart99.xml" ContentType="application/vnd.openxmlformats-officedocument.drawingml.chart+xml"/>
  <Override PartName="/xl/charts/style99.xml" ContentType="application/vnd.ms-office.chartstyle+xml"/>
  <Override PartName="/xl/charts/colors99.xml" ContentType="application/vnd.ms-office.chartcolorstyle+xml"/>
  <Override PartName="/xl/charts/chart100.xml" ContentType="application/vnd.openxmlformats-officedocument.drawingml.chart+xml"/>
  <Override PartName="/xl/charts/style100.xml" ContentType="application/vnd.ms-office.chartstyle+xml"/>
  <Override PartName="/xl/charts/colors100.xml" ContentType="application/vnd.ms-office.chartcolorstyle+xml"/>
  <Override PartName="/xl/charts/chart101.xml" ContentType="application/vnd.openxmlformats-officedocument.drawingml.chart+xml"/>
  <Override PartName="/xl/charts/style101.xml" ContentType="application/vnd.ms-office.chartstyle+xml"/>
  <Override PartName="/xl/charts/colors101.xml" ContentType="application/vnd.ms-office.chartcolorstyle+xml"/>
  <Override PartName="/xl/charts/chart102.xml" ContentType="application/vnd.openxmlformats-officedocument.drawingml.chart+xml"/>
  <Override PartName="/xl/charts/style102.xml" ContentType="application/vnd.ms-office.chartstyle+xml"/>
  <Override PartName="/xl/charts/colors102.xml" ContentType="application/vnd.ms-office.chartcolorstyle+xml"/>
  <Override PartName="/xl/charts/chart103.xml" ContentType="application/vnd.openxmlformats-officedocument.drawingml.chart+xml"/>
  <Override PartName="/xl/charts/style103.xml" ContentType="application/vnd.ms-office.chartstyle+xml"/>
  <Override PartName="/xl/charts/colors103.xml" ContentType="application/vnd.ms-office.chartcolorstyle+xml"/>
  <Override PartName="/xl/charts/chart104.xml" ContentType="application/vnd.openxmlformats-officedocument.drawingml.chart+xml"/>
  <Override PartName="/xl/charts/style104.xml" ContentType="application/vnd.ms-office.chartstyle+xml"/>
  <Override PartName="/xl/charts/colors104.xml" ContentType="application/vnd.ms-office.chartcolorstyle+xml"/>
  <Override PartName="/xl/charts/chart105.xml" ContentType="application/vnd.openxmlformats-officedocument.drawingml.chart+xml"/>
  <Override PartName="/xl/charts/style105.xml" ContentType="application/vnd.ms-office.chartstyle+xml"/>
  <Override PartName="/xl/charts/colors105.xml" ContentType="application/vnd.ms-office.chartcolorstyle+xml"/>
  <Override PartName="/xl/charts/chart106.xml" ContentType="application/vnd.openxmlformats-officedocument.drawingml.chart+xml"/>
  <Override PartName="/xl/charts/style106.xml" ContentType="application/vnd.ms-office.chartstyle+xml"/>
  <Override PartName="/xl/charts/colors106.xml" ContentType="application/vnd.ms-office.chartcolorstyle+xml"/>
  <Override PartName="/xl/charts/chart107.xml" ContentType="application/vnd.openxmlformats-officedocument.drawingml.chart+xml"/>
  <Override PartName="/xl/charts/style107.xml" ContentType="application/vnd.ms-office.chartstyle+xml"/>
  <Override PartName="/xl/charts/colors107.xml" ContentType="application/vnd.ms-office.chartcolorstyle+xml"/>
  <Override PartName="/xl/charts/chart108.xml" ContentType="application/vnd.openxmlformats-officedocument.drawingml.chart+xml"/>
  <Override PartName="/xl/charts/style108.xml" ContentType="application/vnd.ms-office.chartstyle+xml"/>
  <Override PartName="/xl/charts/colors108.xml" ContentType="application/vnd.ms-office.chartcolorstyle+xml"/>
  <Override PartName="/xl/drawings/drawing18.xml" ContentType="application/vnd.openxmlformats-officedocument.drawing+xml"/>
  <Override PartName="/xl/charts/chart109.xml" ContentType="application/vnd.openxmlformats-officedocument.drawingml.chart+xml"/>
  <Override PartName="/xl/charts/style109.xml" ContentType="application/vnd.ms-office.chartstyle+xml"/>
  <Override PartName="/xl/charts/colors109.xml" ContentType="application/vnd.ms-office.chartcolorstyle+xml"/>
  <Override PartName="/xl/charts/chart110.xml" ContentType="application/vnd.openxmlformats-officedocument.drawingml.chart+xml"/>
  <Override PartName="/xl/charts/style110.xml" ContentType="application/vnd.ms-office.chartstyle+xml"/>
  <Override PartName="/xl/charts/colors110.xml" ContentType="application/vnd.ms-office.chartcolorstyle+xml"/>
  <Override PartName="/xl/charts/chart111.xml" ContentType="application/vnd.openxmlformats-officedocument.drawingml.chart+xml"/>
  <Override PartName="/xl/charts/style111.xml" ContentType="application/vnd.ms-office.chartstyle+xml"/>
  <Override PartName="/xl/charts/colors111.xml" ContentType="application/vnd.ms-office.chartcolorstyle+xml"/>
  <Override PartName="/xl/charts/chart112.xml" ContentType="application/vnd.openxmlformats-officedocument.drawingml.chart+xml"/>
  <Override PartName="/xl/charts/style112.xml" ContentType="application/vnd.ms-office.chartstyle+xml"/>
  <Override PartName="/xl/charts/colors112.xml" ContentType="application/vnd.ms-office.chartcolorstyle+xml"/>
  <Override PartName="/xl/charts/chart113.xml" ContentType="application/vnd.openxmlformats-officedocument.drawingml.chart+xml"/>
  <Override PartName="/xl/charts/style113.xml" ContentType="application/vnd.ms-office.chartstyle+xml"/>
  <Override PartName="/xl/charts/colors113.xml" ContentType="application/vnd.ms-office.chartcolorstyle+xml"/>
  <Override PartName="/xl/charts/chart114.xml" ContentType="application/vnd.openxmlformats-officedocument.drawingml.chart+xml"/>
  <Override PartName="/xl/charts/style114.xml" ContentType="application/vnd.ms-office.chartstyle+xml"/>
  <Override PartName="/xl/charts/colors114.xml" ContentType="application/vnd.ms-office.chartcolorstyle+xml"/>
  <Override PartName="/xl/charts/chart115.xml" ContentType="application/vnd.openxmlformats-officedocument.drawingml.chart+xml"/>
  <Override PartName="/xl/charts/style115.xml" ContentType="application/vnd.ms-office.chartstyle+xml"/>
  <Override PartName="/xl/charts/colors115.xml" ContentType="application/vnd.ms-office.chartcolorstyle+xml"/>
  <Override PartName="/xl/charts/chart116.xml" ContentType="application/vnd.openxmlformats-officedocument.drawingml.chart+xml"/>
  <Override PartName="/xl/charts/style116.xml" ContentType="application/vnd.ms-office.chartstyle+xml"/>
  <Override PartName="/xl/charts/colors116.xml" ContentType="application/vnd.ms-office.chartcolorstyle+xml"/>
  <Override PartName="/xl/charts/chart117.xml" ContentType="application/vnd.openxmlformats-officedocument.drawingml.chart+xml"/>
  <Override PartName="/xl/charts/style117.xml" ContentType="application/vnd.ms-office.chartstyle+xml"/>
  <Override PartName="/xl/charts/colors117.xml" ContentType="application/vnd.ms-office.chartcolorstyle+xml"/>
  <Override PartName="/xl/charts/chart118.xml" ContentType="application/vnd.openxmlformats-officedocument.drawingml.chart+xml"/>
  <Override PartName="/xl/charts/style118.xml" ContentType="application/vnd.ms-office.chartstyle+xml"/>
  <Override PartName="/xl/charts/colors118.xml" ContentType="application/vnd.ms-office.chartcolorstyle+xml"/>
  <Override PartName="/xl/charts/chart119.xml" ContentType="application/vnd.openxmlformats-officedocument.drawingml.chart+xml"/>
  <Override PartName="/xl/charts/style119.xml" ContentType="application/vnd.ms-office.chartstyle+xml"/>
  <Override PartName="/xl/charts/colors119.xml" ContentType="application/vnd.ms-office.chartcolorstyle+xml"/>
  <Override PartName="/xl/charts/chart120.xml" ContentType="application/vnd.openxmlformats-officedocument.drawingml.chart+xml"/>
  <Override PartName="/xl/charts/style120.xml" ContentType="application/vnd.ms-office.chartstyle+xml"/>
  <Override PartName="/xl/charts/colors120.xml" ContentType="application/vnd.ms-office.chartcolorstyle+xml"/>
  <Override PartName="/xl/drawings/drawing19.xml" ContentType="application/vnd.openxmlformats-officedocument.drawing+xml"/>
  <Override PartName="/xl/charts/chart121.xml" ContentType="application/vnd.openxmlformats-officedocument.drawingml.chart+xml"/>
  <Override PartName="/xl/charts/style121.xml" ContentType="application/vnd.ms-office.chartstyle+xml"/>
  <Override PartName="/xl/charts/colors121.xml" ContentType="application/vnd.ms-office.chartcolorstyle+xml"/>
  <Override PartName="/xl/charts/chart122.xml" ContentType="application/vnd.openxmlformats-officedocument.drawingml.chart+xml"/>
  <Override PartName="/xl/charts/style122.xml" ContentType="application/vnd.ms-office.chartstyle+xml"/>
  <Override PartName="/xl/charts/colors122.xml" ContentType="application/vnd.ms-office.chartcolorstyle+xml"/>
  <Override PartName="/xl/charts/chart123.xml" ContentType="application/vnd.openxmlformats-officedocument.drawingml.chart+xml"/>
  <Override PartName="/xl/charts/style123.xml" ContentType="application/vnd.ms-office.chartstyle+xml"/>
  <Override PartName="/xl/charts/colors123.xml" ContentType="application/vnd.ms-office.chartcolorstyle+xml"/>
  <Override PartName="/xl/charts/chart124.xml" ContentType="application/vnd.openxmlformats-officedocument.drawingml.chart+xml"/>
  <Override PartName="/xl/charts/style124.xml" ContentType="application/vnd.ms-office.chartstyle+xml"/>
  <Override PartName="/xl/charts/colors124.xml" ContentType="application/vnd.ms-office.chartcolorstyle+xml"/>
  <Override PartName="/xl/charts/chart125.xml" ContentType="application/vnd.openxmlformats-officedocument.drawingml.chart+xml"/>
  <Override PartName="/xl/charts/style125.xml" ContentType="application/vnd.ms-office.chartstyle+xml"/>
  <Override PartName="/xl/charts/colors125.xml" ContentType="application/vnd.ms-office.chartcolorstyle+xml"/>
  <Override PartName="/xl/charts/chart126.xml" ContentType="application/vnd.openxmlformats-officedocument.drawingml.chart+xml"/>
  <Override PartName="/xl/charts/style126.xml" ContentType="application/vnd.ms-office.chartstyle+xml"/>
  <Override PartName="/xl/charts/colors126.xml" ContentType="application/vnd.ms-office.chartcolorstyle+xml"/>
  <Override PartName="/xl/charts/chart127.xml" ContentType="application/vnd.openxmlformats-officedocument.drawingml.chart+xml"/>
  <Override PartName="/xl/charts/style127.xml" ContentType="application/vnd.ms-office.chartstyle+xml"/>
  <Override PartName="/xl/charts/colors127.xml" ContentType="application/vnd.ms-office.chartcolorstyle+xml"/>
  <Override PartName="/xl/charts/chart128.xml" ContentType="application/vnd.openxmlformats-officedocument.drawingml.chart+xml"/>
  <Override PartName="/xl/charts/style128.xml" ContentType="application/vnd.ms-office.chartstyle+xml"/>
  <Override PartName="/xl/charts/colors12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codeName="ThisWorkbook"/>
  <mc:AlternateContent xmlns:mc="http://schemas.openxmlformats.org/markup-compatibility/2006">
    <mc:Choice Requires="x15">
      <x15ac:absPath xmlns:x15ac="http://schemas.microsoft.com/office/spreadsheetml/2010/11/ac" url="C:\Users\eoughton\Desktop\Github\ascend\"/>
    </mc:Choice>
  </mc:AlternateContent>
  <xr:revisionPtr revIDLastSave="0" documentId="13_ncr:1_{E8FD6A41-EF92-4A5B-9126-8361FFD52A68}" xr6:coauthVersionLast="47" xr6:coauthVersionMax="47" xr10:uidLastSave="{00000000-0000-0000-0000-000000000000}"/>
  <bookViews>
    <workbookView xWindow="-108" yWindow="-108" windowWidth="30936" windowHeight="16896" tabRatio="780" activeTab="19" xr2:uid="{00000000-000D-0000-FFFF-FFFF00000000}"/>
  </bookViews>
  <sheets>
    <sheet name="Index" sheetId="1" r:id="rId1"/>
    <sheet name="Read_Me" sheetId="2" r:id="rId2"/>
    <sheet name="Main" sheetId="159" r:id="rId3"/>
    <sheet name="List_Options" sheetId="160" state="hidden" r:id="rId4"/>
    <sheet name="Historical_Cost" sheetId="51" r:id="rId5"/>
    <sheet name="Current_Operational_Cost" sheetId="155" r:id="rId6"/>
    <sheet name="Future_Cost" sheetId="154" r:id="rId7"/>
    <sheet name="Current" sheetId="135" r:id="rId8"/>
    <sheet name="DTE_Lifespans_existing" sheetId="132" state="hidden" r:id="rId9"/>
    <sheet name="Use_case_lifespans" sheetId="136" state="hidden" r:id="rId10"/>
    <sheet name="New_missions" sheetId="137" state="hidden" r:id="rId11"/>
    <sheet name="lifespans_all" sheetId="138" state="hidden" r:id="rId12"/>
    <sheet name="Current_DTE" sheetId="140" state="hidden" r:id="rId13"/>
    <sheet name="DTE_mission_minutes" sheetId="133" state="hidden" r:id="rId14"/>
    <sheet name="DTE_demand_forecast" sheetId="134" state="hidden" r:id="rId15"/>
    <sheet name="Current_SR" sheetId="123" state="hidden" r:id="rId16"/>
    <sheet name="SR_mission_minutes" sheetId="146" state="hidden" r:id="rId17"/>
    <sheet name="SR_demand_forecast" sheetId="147" state="hidden" r:id="rId18"/>
    <sheet name="Minutes_by_use_case" sheetId="141" state="hidden" r:id="rId19"/>
    <sheet name="Costs - SR" sheetId="129" r:id="rId20"/>
    <sheet name="Costs - DTE" sheetId="158" r:id="rId21"/>
    <sheet name="Scenarios" sheetId="161" r:id="rId22"/>
    <sheet name="DTE_cost_per_minute_forecast" sheetId="144" state="hidden" r:id="rId23"/>
    <sheet name="SR_cost_per_minute_forecast" sheetId="152" state="hidden" r:id="rId24"/>
    <sheet name="Lifespans" sheetId="142" state="hidden" r:id="rId25"/>
    <sheet name="Demand_forecast_by_use_case" sheetId="143" state="hidden" r:id="rId26"/>
    <sheet name="Demand_forecast_by_replacement" sheetId="153" state="hidden" r:id="rId27"/>
    <sheet name="DTE_cost_by_use_case" sheetId="145" state="hidden" r:id="rId28"/>
    <sheet name="SR_cost_by_use_case" sheetId="151" state="hidden" r:id="rId29"/>
    <sheet name="Aggregate_costs" sheetId="150" state="hidden" r:id="rId30"/>
  </sheets>
  <definedNames>
    <definedName name="_xlnm._FilterDatabase" localSheetId="7" hidden="1">Current!$G$56:$G$92</definedName>
    <definedName name="_xlnm._FilterDatabase" localSheetId="12" hidden="1">Current_DTE!$A$1:$V$48</definedName>
    <definedName name="_xlnm._FilterDatabase" localSheetId="14" hidden="1">DTE_demand_forecast!$A$1:$V$48</definedName>
    <definedName name="_xlnm._FilterDatabase" localSheetId="8" hidden="1">DTE_Lifespans_existing!$A$1:$V$48</definedName>
    <definedName name="_xlnm._FilterDatabase" localSheetId="13" hidden="1">DTE_mission_minutes!$A$1:$V$48</definedName>
    <definedName name="_xlnm._FilterDatabase" localSheetId="11" hidden="1">lifespans_all!$A$1:$V$48</definedName>
    <definedName name="_xlnm._FilterDatabase" localSheetId="18" hidden="1">Minutes_by_use_case!$A$1:$U$47</definedName>
    <definedName name="_xlnm._FilterDatabase" localSheetId="10" hidden="1">New_missions!$A$1:$V$52</definedName>
    <definedName name="_xlnm._FilterDatabase" localSheetId="9" hidden="1">Use_case_lifespans!$A$1:$V$48</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M90" i="129" l="1"/>
  <c r="M91" i="129"/>
  <c r="M92" i="129"/>
  <c r="M93" i="129"/>
  <c r="M94" i="129"/>
  <c r="M95" i="129"/>
  <c r="M96" i="129"/>
  <c r="M97" i="129"/>
  <c r="B5" i="161"/>
  <c r="B6" i="161"/>
  <c r="B7" i="161"/>
  <c r="B8" i="161"/>
  <c r="B9" i="161"/>
  <c r="B10" i="161"/>
  <c r="B11" i="161"/>
  <c r="B4" i="161"/>
  <c r="B2" i="161"/>
  <c r="A5" i="161"/>
  <c r="A6" i="161"/>
  <c r="A7" i="161"/>
  <c r="A8" i="161"/>
  <c r="A9" i="161"/>
  <c r="A10" i="161"/>
  <c r="A11" i="161"/>
  <c r="A4" i="161"/>
  <c r="A2" i="161"/>
  <c r="N33" i="158"/>
  <c r="N34" i="158"/>
  <c r="N35" i="158"/>
  <c r="N36" i="158"/>
  <c r="N37" i="158"/>
  <c r="N38" i="158"/>
  <c r="N39" i="158"/>
  <c r="N40" i="158"/>
  <c r="N41" i="158"/>
  <c r="N32" i="158"/>
  <c r="K33" i="158"/>
  <c r="K34" i="158"/>
  <c r="K35" i="158"/>
  <c r="K36" i="158"/>
  <c r="K37" i="158"/>
  <c r="K38" i="158"/>
  <c r="K39" i="158"/>
  <c r="K40" i="158"/>
  <c r="K41" i="158"/>
  <c r="J34" i="158"/>
  <c r="M34" i="158" s="1"/>
  <c r="J35" i="158"/>
  <c r="J36" i="158" s="1"/>
  <c r="J33" i="158"/>
  <c r="I33" i="158"/>
  <c r="I34" i="158"/>
  <c r="I35" i="158"/>
  <c r="I36" i="158"/>
  <c r="I37" i="158"/>
  <c r="I38" i="158"/>
  <c r="I39" i="158"/>
  <c r="I40" i="158"/>
  <c r="I41" i="158"/>
  <c r="L40" i="158"/>
  <c r="L41" i="158"/>
  <c r="I32" i="158"/>
  <c r="M33" i="158"/>
  <c r="M32" i="158"/>
  <c r="L33" i="158"/>
  <c r="L32" i="158"/>
  <c r="K32" i="158" s="1"/>
  <c r="H32" i="158"/>
  <c r="H34" i="158"/>
  <c r="H33" i="158"/>
  <c r="N18" i="158"/>
  <c r="O18" i="158"/>
  <c r="P18" i="158"/>
  <c r="H3" i="161"/>
  <c r="H2" i="161"/>
  <c r="G4" i="161"/>
  <c r="G5" i="161"/>
  <c r="G6" i="161"/>
  <c r="G7" i="161"/>
  <c r="G8" i="161"/>
  <c r="G9" i="161"/>
  <c r="G10" i="161"/>
  <c r="G11" i="161"/>
  <c r="G2" i="161"/>
  <c r="E4" i="161"/>
  <c r="E5" i="161"/>
  <c r="E6" i="161"/>
  <c r="E7" i="161"/>
  <c r="E8" i="161"/>
  <c r="E9" i="161"/>
  <c r="E10" i="161"/>
  <c r="E11" i="161"/>
  <c r="E12" i="161"/>
  <c r="E13" i="161"/>
  <c r="E14" i="161"/>
  <c r="E15" i="161"/>
  <c r="E16" i="161"/>
  <c r="E17" i="161"/>
  <c r="E18" i="161"/>
  <c r="E19" i="161"/>
  <c r="E20" i="161"/>
  <c r="E21" i="161"/>
  <c r="E2" i="161"/>
  <c r="D4" i="161"/>
  <c r="D5" i="161"/>
  <c r="D6" i="161"/>
  <c r="D7" i="161"/>
  <c r="D8" i="161"/>
  <c r="D9" i="161"/>
  <c r="D10" i="161"/>
  <c r="D11" i="161"/>
  <c r="D12" i="161"/>
  <c r="D13" i="161"/>
  <c r="D14" i="161"/>
  <c r="D15" i="161"/>
  <c r="D16" i="161"/>
  <c r="D17" i="161"/>
  <c r="D18" i="161"/>
  <c r="D19" i="161"/>
  <c r="D20" i="161"/>
  <c r="D21" i="161"/>
  <c r="D2" i="161"/>
  <c r="C13" i="159"/>
  <c r="O7" i="154" s="1"/>
  <c r="C12" i="159"/>
  <c r="O6" i="154" s="1"/>
  <c r="R91" i="129"/>
  <c r="R92" i="129"/>
  <c r="R93" i="129"/>
  <c r="R94" i="129"/>
  <c r="R95" i="129"/>
  <c r="R96" i="129"/>
  <c r="R97" i="129"/>
  <c r="R79" i="129"/>
  <c r="R80" i="129"/>
  <c r="R81" i="129"/>
  <c r="R82" i="129"/>
  <c r="R83" i="129"/>
  <c r="R84" i="129"/>
  <c r="R78" i="129"/>
  <c r="R90" i="129"/>
  <c r="G110" i="129"/>
  <c r="G109" i="129"/>
  <c r="G105" i="129"/>
  <c r="G106" i="129"/>
  <c r="G107" i="129"/>
  <c r="G108" i="129"/>
  <c r="G104" i="129"/>
  <c r="G103" i="129"/>
  <c r="P103" i="129"/>
  <c r="M53" i="129"/>
  <c r="R6" i="129"/>
  <c r="R7" i="129"/>
  <c r="R8" i="129"/>
  <c r="R9" i="129"/>
  <c r="R10" i="129"/>
  <c r="R11" i="129"/>
  <c r="R12" i="129"/>
  <c r="R13" i="129"/>
  <c r="R14" i="129"/>
  <c r="R15" i="129"/>
  <c r="R16" i="129"/>
  <c r="R17" i="129"/>
  <c r="R18" i="129"/>
  <c r="R19" i="129"/>
  <c r="R20" i="129"/>
  <c r="R21" i="129"/>
  <c r="R22" i="129"/>
  <c r="R23" i="129"/>
  <c r="R5" i="129"/>
  <c r="D47" i="129"/>
  <c r="V89" i="129"/>
  <c r="W89" i="129"/>
  <c r="X89" i="129"/>
  <c r="Y89" i="129"/>
  <c r="Z89" i="129"/>
  <c r="AA89" i="129"/>
  <c r="AB89" i="129"/>
  <c r="AC89" i="129"/>
  <c r="AD89" i="129"/>
  <c r="AE89" i="129"/>
  <c r="AF89" i="129"/>
  <c r="AG89" i="129"/>
  <c r="AH89" i="129"/>
  <c r="AI89" i="129"/>
  <c r="AJ89" i="129"/>
  <c r="AK89" i="129"/>
  <c r="AL89" i="129"/>
  <c r="AM89" i="129"/>
  <c r="U89" i="129"/>
  <c r="T89" i="129"/>
  <c r="L90" i="129"/>
  <c r="K90" i="129"/>
  <c r="P52" i="129"/>
  <c r="G51" i="129"/>
  <c r="O27" i="129"/>
  <c r="P27" i="129"/>
  <c r="Q27" i="129"/>
  <c r="R27" i="129"/>
  <c r="O28" i="129"/>
  <c r="P28" i="129"/>
  <c r="Q28" i="129"/>
  <c r="R28" i="129"/>
  <c r="N27" i="129"/>
  <c r="N28" i="129"/>
  <c r="M27" i="129"/>
  <c r="M28" i="129"/>
  <c r="L28" i="129"/>
  <c r="K28" i="129"/>
  <c r="D50" i="129"/>
  <c r="Y14" i="135"/>
  <c r="Y13" i="135"/>
  <c r="F12" i="154"/>
  <c r="G12" i="154"/>
  <c r="Y2" i="135"/>
  <c r="Y11" i="135" s="1"/>
  <c r="L3" i="135"/>
  <c r="L4" i="135"/>
  <c r="L5" i="135"/>
  <c r="L6" i="135"/>
  <c r="L7" i="135"/>
  <c r="L2" i="135"/>
  <c r="K2" i="135"/>
  <c r="J2" i="135"/>
  <c r="L13" i="135" l="1"/>
  <c r="L14" i="135"/>
  <c r="L11" i="135"/>
  <c r="O7" i="155"/>
  <c r="O7" i="51"/>
  <c r="O6" i="51"/>
  <c r="O6" i="155"/>
  <c r="J37" i="158"/>
  <c r="M36" i="158"/>
  <c r="H36" i="158"/>
  <c r="M35" i="158"/>
  <c r="L39" i="158"/>
  <c r="L38" i="158"/>
  <c r="L37" i="158"/>
  <c r="L36" i="158"/>
  <c r="L34" i="158"/>
  <c r="R35" i="129"/>
  <c r="R33" i="129"/>
  <c r="R30" i="129"/>
  <c r="R44" i="129"/>
  <c r="R47" i="129"/>
  <c r="R41" i="129"/>
  <c r="R46" i="129"/>
  <c r="R42" i="129"/>
  <c r="R40" i="129"/>
  <c r="R45" i="129"/>
  <c r="R43" i="129"/>
  <c r="R39" i="129"/>
  <c r="K78" i="129"/>
  <c r="K77" i="129"/>
  <c r="I102" i="129"/>
  <c r="J102" i="129"/>
  <c r="H102" i="129"/>
  <c r="G102" i="129"/>
  <c r="F31" i="158"/>
  <c r="F17" i="158"/>
  <c r="O22" i="158"/>
  <c r="O26" i="158"/>
  <c r="P19" i="158"/>
  <c r="P20" i="158"/>
  <c r="P21" i="158"/>
  <c r="P22" i="158"/>
  <c r="P23" i="158"/>
  <c r="P24" i="158"/>
  <c r="P25" i="158"/>
  <c r="P26" i="158"/>
  <c r="P27" i="158"/>
  <c r="I18" i="158"/>
  <c r="H18" i="158"/>
  <c r="F18" i="158"/>
  <c r="F19" i="158"/>
  <c r="F20" i="158"/>
  <c r="F21" i="158"/>
  <c r="F22" i="158"/>
  <c r="F23" i="158"/>
  <c r="F24" i="158"/>
  <c r="F25" i="158"/>
  <c r="F26" i="158"/>
  <c r="F27" i="158"/>
  <c r="O4" i="158"/>
  <c r="F6" i="158"/>
  <c r="F7" i="158" s="1"/>
  <c r="F5" i="158"/>
  <c r="G41" i="158"/>
  <c r="G40" i="158"/>
  <c r="G39" i="158"/>
  <c r="G38" i="158"/>
  <c r="G37" i="158"/>
  <c r="G36" i="158"/>
  <c r="G35" i="158"/>
  <c r="G34" i="158"/>
  <c r="G33" i="158"/>
  <c r="G32" i="158"/>
  <c r="N27" i="158"/>
  <c r="L27" i="158"/>
  <c r="J27" i="158"/>
  <c r="O27" i="158" s="1"/>
  <c r="I27" i="158"/>
  <c r="H27" i="158"/>
  <c r="N26" i="158"/>
  <c r="L26" i="158"/>
  <c r="J26" i="158"/>
  <c r="I26" i="158"/>
  <c r="H26" i="158"/>
  <c r="N25" i="158"/>
  <c r="L25" i="158"/>
  <c r="J25" i="158"/>
  <c r="I25" i="158"/>
  <c r="H25" i="158"/>
  <c r="N24" i="158"/>
  <c r="L24" i="158"/>
  <c r="J24" i="158"/>
  <c r="I24" i="158"/>
  <c r="H24" i="158"/>
  <c r="O24" i="158" s="1"/>
  <c r="N23" i="158"/>
  <c r="L23" i="158"/>
  <c r="J23" i="158"/>
  <c r="O23" i="158" s="1"/>
  <c r="I23" i="158"/>
  <c r="H23" i="158"/>
  <c r="N22" i="158"/>
  <c r="L22" i="158"/>
  <c r="J22" i="158"/>
  <c r="I22" i="158"/>
  <c r="H22" i="158"/>
  <c r="N21" i="158"/>
  <c r="L21" i="158"/>
  <c r="J21" i="158"/>
  <c r="I21" i="158"/>
  <c r="H21" i="158"/>
  <c r="O21" i="158" s="1"/>
  <c r="N20" i="158"/>
  <c r="L20" i="158"/>
  <c r="J20" i="158"/>
  <c r="I20" i="158"/>
  <c r="H20" i="158"/>
  <c r="O20" i="158" s="1"/>
  <c r="N19" i="158"/>
  <c r="L19" i="158"/>
  <c r="J19" i="158"/>
  <c r="O19" i="158" s="1"/>
  <c r="I19" i="158"/>
  <c r="H19" i="158"/>
  <c r="L18" i="158"/>
  <c r="J18" i="158"/>
  <c r="F32" i="158"/>
  <c r="O13" i="158"/>
  <c r="M27" i="158"/>
  <c r="K13" i="158"/>
  <c r="K27" i="158" s="1"/>
  <c r="O12" i="158"/>
  <c r="M26" i="158"/>
  <c r="K12" i="158"/>
  <c r="K26" i="158" s="1"/>
  <c r="O11" i="158"/>
  <c r="M25" i="158"/>
  <c r="K11" i="158"/>
  <c r="K25" i="158" s="1"/>
  <c r="O25" i="158" s="1"/>
  <c r="O10" i="158"/>
  <c r="M24" i="158"/>
  <c r="K10" i="158"/>
  <c r="K24" i="158" s="1"/>
  <c r="O9" i="158"/>
  <c r="M23" i="158"/>
  <c r="K9" i="158"/>
  <c r="K23" i="158" s="1"/>
  <c r="O8" i="158"/>
  <c r="M22" i="158"/>
  <c r="K8" i="158"/>
  <c r="K22" i="158" s="1"/>
  <c r="O7" i="158"/>
  <c r="M21" i="158"/>
  <c r="K7" i="158"/>
  <c r="K21" i="158" s="1"/>
  <c r="O6" i="158"/>
  <c r="M20" i="158"/>
  <c r="K6" i="158"/>
  <c r="K20" i="158" s="1"/>
  <c r="F34" i="158"/>
  <c r="O5" i="158"/>
  <c r="M19" i="158"/>
  <c r="K5" i="158"/>
  <c r="K19" i="158" s="1"/>
  <c r="F33" i="158"/>
  <c r="M18" i="158"/>
  <c r="K4" i="158"/>
  <c r="K18" i="158" s="1"/>
  <c r="P91" i="129"/>
  <c r="P92" i="129"/>
  <c r="P93" i="129"/>
  <c r="P94" i="129"/>
  <c r="P95" i="129"/>
  <c r="P96" i="129"/>
  <c r="P97" i="129"/>
  <c r="O91" i="129"/>
  <c r="O92" i="129"/>
  <c r="O93" i="129"/>
  <c r="O94" i="129"/>
  <c r="O95" i="129"/>
  <c r="O96" i="129"/>
  <c r="O97" i="129"/>
  <c r="O90" i="129"/>
  <c r="H89" i="129"/>
  <c r="K89" i="129"/>
  <c r="L89" i="129"/>
  <c r="G89" i="129"/>
  <c r="Q77" i="129"/>
  <c r="N77" i="129"/>
  <c r="Q90" i="129" s="1"/>
  <c r="T90" i="129" s="1"/>
  <c r="G90" i="129"/>
  <c r="G78" i="129"/>
  <c r="G52" i="129"/>
  <c r="G28" i="129"/>
  <c r="G27" i="129"/>
  <c r="K4" i="129"/>
  <c r="G5" i="129"/>
  <c r="G6" i="129" s="1"/>
  <c r="K7" i="129"/>
  <c r="K6" i="129"/>
  <c r="K5" i="129"/>
  <c r="K8" i="129"/>
  <c r="K9" i="129"/>
  <c r="K10" i="129"/>
  <c r="K11" i="129"/>
  <c r="K12" i="129"/>
  <c r="K13" i="129"/>
  <c r="K14" i="129"/>
  <c r="K15" i="129"/>
  <c r="K16" i="129"/>
  <c r="K17" i="129"/>
  <c r="K18" i="129"/>
  <c r="K19" i="129"/>
  <c r="K20" i="129"/>
  <c r="K21" i="129"/>
  <c r="K22" i="129"/>
  <c r="K23" i="129"/>
  <c r="H110" i="129"/>
  <c r="H109" i="129"/>
  <c r="H108" i="129"/>
  <c r="H107" i="129"/>
  <c r="H106" i="129"/>
  <c r="H105" i="129"/>
  <c r="H104" i="129"/>
  <c r="H103" i="129"/>
  <c r="H97" i="129"/>
  <c r="H96" i="129"/>
  <c r="H95" i="129"/>
  <c r="H94" i="129"/>
  <c r="H93" i="129"/>
  <c r="H92" i="129"/>
  <c r="K91" i="129"/>
  <c r="H91" i="129"/>
  <c r="H90" i="129"/>
  <c r="N78" i="129"/>
  <c r="N91" i="129" s="1"/>
  <c r="L78" i="129"/>
  <c r="L91" i="129" s="1"/>
  <c r="P77" i="129"/>
  <c r="P90" i="129" s="1"/>
  <c r="L77" i="129"/>
  <c r="D48" i="129"/>
  <c r="D51" i="129" s="1"/>
  <c r="P47" i="129"/>
  <c r="O47" i="129"/>
  <c r="M47" i="129"/>
  <c r="P46" i="129"/>
  <c r="O46" i="129"/>
  <c r="M46" i="129"/>
  <c r="D46" i="129"/>
  <c r="P45" i="129"/>
  <c r="O45" i="129"/>
  <c r="M45" i="129"/>
  <c r="D45" i="129"/>
  <c r="P44" i="129"/>
  <c r="O44" i="129"/>
  <c r="M44" i="129"/>
  <c r="P43" i="129"/>
  <c r="O43" i="129"/>
  <c r="M43" i="129"/>
  <c r="P42" i="129"/>
  <c r="O42" i="129"/>
  <c r="M42" i="129"/>
  <c r="P41" i="129"/>
  <c r="O41" i="129"/>
  <c r="M41" i="129"/>
  <c r="P40" i="129"/>
  <c r="O40" i="129"/>
  <c r="M40" i="129"/>
  <c r="P39" i="129"/>
  <c r="O39" i="129"/>
  <c r="M39" i="129"/>
  <c r="R38" i="129"/>
  <c r="P38" i="129"/>
  <c r="O38" i="129"/>
  <c r="M38" i="129"/>
  <c r="B38" i="129"/>
  <c r="R37" i="129"/>
  <c r="P37" i="129"/>
  <c r="O37" i="129"/>
  <c r="M37" i="129"/>
  <c r="B37" i="129"/>
  <c r="R36" i="129"/>
  <c r="P36" i="129"/>
  <c r="O36" i="129"/>
  <c r="M36" i="129"/>
  <c r="B36" i="129"/>
  <c r="P35" i="129"/>
  <c r="O35" i="129"/>
  <c r="M35" i="129"/>
  <c r="B35" i="129"/>
  <c r="D35" i="129" s="1"/>
  <c r="R34" i="129"/>
  <c r="P34" i="129"/>
  <c r="O34" i="129"/>
  <c r="M34" i="129"/>
  <c r="P33" i="129"/>
  <c r="O33" i="129"/>
  <c r="M33" i="129"/>
  <c r="R32" i="129"/>
  <c r="P32" i="129"/>
  <c r="O32" i="129"/>
  <c r="M32" i="129"/>
  <c r="R31" i="129"/>
  <c r="P31" i="129"/>
  <c r="O31" i="129"/>
  <c r="M31" i="129"/>
  <c r="P30" i="129"/>
  <c r="O30" i="129"/>
  <c r="M30" i="129"/>
  <c r="R29" i="129"/>
  <c r="P29" i="129"/>
  <c r="O29" i="129"/>
  <c r="M29" i="129"/>
  <c r="D28" i="129"/>
  <c r="D31" i="129" s="1"/>
  <c r="D27" i="129"/>
  <c r="D26" i="129"/>
  <c r="D25" i="129"/>
  <c r="Q23" i="129"/>
  <c r="N23" i="129"/>
  <c r="N47" i="129" s="1"/>
  <c r="Q22" i="129"/>
  <c r="N22" i="129"/>
  <c r="N46" i="129" s="1"/>
  <c r="Q21" i="129"/>
  <c r="N21" i="129"/>
  <c r="N45" i="129" s="1"/>
  <c r="Q20" i="129"/>
  <c r="N20" i="129"/>
  <c r="N44" i="129" s="1"/>
  <c r="Q19" i="129"/>
  <c r="N19" i="129"/>
  <c r="N43" i="129" s="1"/>
  <c r="Q18" i="129"/>
  <c r="N18" i="129"/>
  <c r="N42" i="129" s="1"/>
  <c r="Q17" i="129"/>
  <c r="N17" i="129"/>
  <c r="N41" i="129" s="1"/>
  <c r="Q16" i="129"/>
  <c r="N16" i="129"/>
  <c r="N40" i="129" s="1"/>
  <c r="Q15" i="129"/>
  <c r="N15" i="129"/>
  <c r="N39" i="129" s="1"/>
  <c r="Q14" i="129"/>
  <c r="N14" i="129"/>
  <c r="N38" i="129" s="1"/>
  <c r="Q13" i="129"/>
  <c r="N13" i="129"/>
  <c r="N37" i="129" s="1"/>
  <c r="Q12" i="129"/>
  <c r="N12" i="129"/>
  <c r="N36" i="129" s="1"/>
  <c r="Q11" i="129"/>
  <c r="N11" i="129"/>
  <c r="N35" i="129" s="1"/>
  <c r="Q10" i="129"/>
  <c r="N10" i="129"/>
  <c r="N34" i="129" s="1"/>
  <c r="Q9" i="129"/>
  <c r="N9" i="129"/>
  <c r="N33" i="129" s="1"/>
  <c r="Q8" i="129"/>
  <c r="N8" i="129"/>
  <c r="N32" i="129" s="1"/>
  <c r="Q7" i="129"/>
  <c r="N7" i="129"/>
  <c r="N31" i="129" s="1"/>
  <c r="Q6" i="129"/>
  <c r="N6" i="129"/>
  <c r="N30" i="129" s="1"/>
  <c r="Q5" i="129"/>
  <c r="N5" i="129"/>
  <c r="N29" i="129" s="1"/>
  <c r="Q4" i="129"/>
  <c r="N4" i="129"/>
  <c r="Q107" i="155"/>
  <c r="P107" i="155"/>
  <c r="O107" i="155"/>
  <c r="Q106" i="155"/>
  <c r="P106" i="155"/>
  <c r="O106" i="155"/>
  <c r="Q105" i="155"/>
  <c r="P105" i="155"/>
  <c r="O105" i="155"/>
  <c r="Q104" i="155"/>
  <c r="P104" i="155"/>
  <c r="O104" i="155"/>
  <c r="Q103" i="155"/>
  <c r="P103" i="155"/>
  <c r="O103" i="155"/>
  <c r="R107" i="51"/>
  <c r="Q107" i="51"/>
  <c r="P107" i="51"/>
  <c r="R106" i="51"/>
  <c r="Q106" i="51"/>
  <c r="P106" i="51"/>
  <c r="R105" i="51"/>
  <c r="Q105" i="51"/>
  <c r="P105" i="51"/>
  <c r="R104" i="51"/>
  <c r="Q104" i="51"/>
  <c r="P104" i="51"/>
  <c r="R103" i="51"/>
  <c r="Q103" i="51"/>
  <c r="P103" i="51"/>
  <c r="K74" i="51" l="1"/>
  <c r="L36" i="51"/>
  <c r="J74" i="51"/>
  <c r="K37" i="51"/>
  <c r="K75" i="51"/>
  <c r="L37" i="51"/>
  <c r="L75" i="51"/>
  <c r="J76" i="51"/>
  <c r="L31" i="51"/>
  <c r="J31" i="51"/>
  <c r="K32" i="51"/>
  <c r="J77" i="51"/>
  <c r="J33" i="51"/>
  <c r="K33" i="51"/>
  <c r="J78" i="51"/>
  <c r="J34" i="51"/>
  <c r="K34" i="51"/>
  <c r="K79" i="51"/>
  <c r="L79" i="51"/>
  <c r="K80" i="51"/>
  <c r="L80" i="51"/>
  <c r="L74" i="51"/>
  <c r="J37" i="51"/>
  <c r="J75" i="51"/>
  <c r="K44" i="51"/>
  <c r="L44" i="51"/>
  <c r="K31" i="51"/>
  <c r="J44" i="51"/>
  <c r="J32" i="51"/>
  <c r="L76" i="51"/>
  <c r="J79" i="51"/>
  <c r="K35" i="51"/>
  <c r="L35" i="51"/>
  <c r="J36" i="51"/>
  <c r="K36" i="51"/>
  <c r="K76" i="51"/>
  <c r="L32" i="51"/>
  <c r="K77" i="51"/>
  <c r="L77" i="51"/>
  <c r="L33" i="51"/>
  <c r="K78" i="51"/>
  <c r="L78" i="51"/>
  <c r="L34" i="51"/>
  <c r="J35" i="51"/>
  <c r="J80" i="51"/>
  <c r="P109" i="155"/>
  <c r="O109" i="155"/>
  <c r="Q109" i="155"/>
  <c r="H37" i="158"/>
  <c r="J38" i="158"/>
  <c r="M37" i="158"/>
  <c r="L35" i="158"/>
  <c r="H35" i="158"/>
  <c r="R19" i="158"/>
  <c r="R20" i="158"/>
  <c r="R18" i="158"/>
  <c r="AG18" i="158" s="1"/>
  <c r="X18" i="158"/>
  <c r="Y18" i="158"/>
  <c r="AF18" i="158"/>
  <c r="AI18" i="158"/>
  <c r="T18" i="158"/>
  <c r="U18" i="158"/>
  <c r="W18" i="158"/>
  <c r="Z18" i="158"/>
  <c r="AA18" i="158"/>
  <c r="AB18" i="158"/>
  <c r="P109" i="51"/>
  <c r="Q109" i="51"/>
  <c r="R109" i="51"/>
  <c r="N90" i="129"/>
  <c r="AH90" i="129"/>
  <c r="AI90" i="129"/>
  <c r="Z90" i="129"/>
  <c r="AA90" i="129"/>
  <c r="AJ90" i="129"/>
  <c r="AL90" i="129"/>
  <c r="AM90" i="129"/>
  <c r="AK90" i="129"/>
  <c r="V90" i="129"/>
  <c r="W90" i="129"/>
  <c r="X90" i="129"/>
  <c r="AG90" i="129"/>
  <c r="U90" i="129"/>
  <c r="Y90" i="129"/>
  <c r="AB90" i="129"/>
  <c r="AC90" i="129"/>
  <c r="AD90" i="129"/>
  <c r="AE90" i="129"/>
  <c r="AF90" i="129"/>
  <c r="Q39" i="129"/>
  <c r="Q30" i="129"/>
  <c r="Q37" i="129"/>
  <c r="T37" i="129" s="1"/>
  <c r="AF37" i="129" s="1"/>
  <c r="Q40" i="129"/>
  <c r="Q36" i="129"/>
  <c r="T36" i="129" s="1"/>
  <c r="AH36" i="129" s="1"/>
  <c r="F8" i="158"/>
  <c r="F35" i="158"/>
  <c r="R27" i="158"/>
  <c r="R23" i="158"/>
  <c r="R22" i="158"/>
  <c r="R26" i="158"/>
  <c r="R24" i="158"/>
  <c r="R21" i="158"/>
  <c r="R25" i="158"/>
  <c r="Q46" i="129"/>
  <c r="T46" i="129" s="1"/>
  <c r="Q47" i="129"/>
  <c r="T47" i="129" s="1"/>
  <c r="Z47" i="129" s="1"/>
  <c r="Q29" i="129"/>
  <c r="T29" i="129" s="1"/>
  <c r="AC29" i="129" s="1"/>
  <c r="D30" i="129"/>
  <c r="G7" i="129"/>
  <c r="G54" i="129"/>
  <c r="G30" i="129"/>
  <c r="G29" i="129"/>
  <c r="Q31" i="129"/>
  <c r="T31" i="129" s="1"/>
  <c r="W31" i="129" s="1"/>
  <c r="G53" i="129"/>
  <c r="T39" i="129"/>
  <c r="V39" i="129" s="1"/>
  <c r="Q33" i="129"/>
  <c r="T33" i="129" s="1"/>
  <c r="AG33" i="129" s="1"/>
  <c r="Q44" i="129"/>
  <c r="T44" i="129" s="1"/>
  <c r="V44" i="129" s="1"/>
  <c r="Q38" i="129"/>
  <c r="T38" i="129" s="1"/>
  <c r="T40" i="129"/>
  <c r="Y40" i="129" s="1"/>
  <c r="Q41" i="129"/>
  <c r="T41" i="129" s="1"/>
  <c r="Q42" i="129"/>
  <c r="T42" i="129" s="1"/>
  <c r="T28" i="129"/>
  <c r="Q35" i="129"/>
  <c r="T35" i="129" s="1"/>
  <c r="G79" i="129"/>
  <c r="G91" i="129"/>
  <c r="H53" i="129"/>
  <c r="H29" i="129"/>
  <c r="H54" i="129"/>
  <c r="H30" i="129"/>
  <c r="K29" i="129"/>
  <c r="L79" i="129"/>
  <c r="L92" i="129" s="1"/>
  <c r="K92" i="129"/>
  <c r="K93" i="129"/>
  <c r="L80" i="129"/>
  <c r="L93" i="129" s="1"/>
  <c r="Q43" i="129"/>
  <c r="T43" i="129" s="1"/>
  <c r="Q34" i="129"/>
  <c r="T34" i="129" s="1"/>
  <c r="Q78" i="129"/>
  <c r="L5" i="129"/>
  <c r="L29" i="129" s="1"/>
  <c r="D37" i="129"/>
  <c r="T30" i="129"/>
  <c r="D38" i="129"/>
  <c r="D41" i="129" s="1"/>
  <c r="Q32" i="129"/>
  <c r="T32" i="129" s="1"/>
  <c r="Q45" i="129"/>
  <c r="T45" i="129" s="1"/>
  <c r="D36" i="129"/>
  <c r="D40" i="129" s="1"/>
  <c r="J39" i="158" l="1"/>
  <c r="M38" i="158"/>
  <c r="H38" i="158"/>
  <c r="V18" i="158"/>
  <c r="AJ18" i="158"/>
  <c r="AI22" i="158"/>
  <c r="V22" i="158"/>
  <c r="X22" i="158"/>
  <c r="AA22" i="158"/>
  <c r="AB22" i="158"/>
  <c r="AJ22" i="158"/>
  <c r="AK22" i="158"/>
  <c r="T22" i="158"/>
  <c r="W22" i="158"/>
  <c r="Y22" i="158"/>
  <c r="Z22" i="158"/>
  <c r="U22" i="158"/>
  <c r="AC22" i="158"/>
  <c r="AD22" i="158"/>
  <c r="AG22" i="158"/>
  <c r="AH22" i="158"/>
  <c r="AE22" i="158"/>
  <c r="AF22" i="158"/>
  <c r="S22" i="158"/>
  <c r="AK23" i="158"/>
  <c r="T23" i="158"/>
  <c r="V23" i="158"/>
  <c r="W23" i="158"/>
  <c r="AB23" i="158"/>
  <c r="AD23" i="158"/>
  <c r="U23" i="158"/>
  <c r="Y23" i="158"/>
  <c r="Z23" i="158"/>
  <c r="X23" i="158"/>
  <c r="AA23" i="158"/>
  <c r="AC23" i="158"/>
  <c r="AE23" i="158"/>
  <c r="AF23" i="158"/>
  <c r="AG23" i="158"/>
  <c r="AH23" i="158"/>
  <c r="AJ23" i="158"/>
  <c r="S23" i="158"/>
  <c r="AI23" i="158"/>
  <c r="Y27" i="158"/>
  <c r="AB27" i="158"/>
  <c r="AD27" i="158"/>
  <c r="AK27" i="158"/>
  <c r="S27" i="158"/>
  <c r="Z27" i="158"/>
  <c r="AA27" i="158"/>
  <c r="AC27" i="158"/>
  <c r="AF27" i="158"/>
  <c r="AG27" i="158"/>
  <c r="AE27" i="158"/>
  <c r="AH27" i="158"/>
  <c r="AI27" i="158"/>
  <c r="AJ27" i="158"/>
  <c r="T27" i="158"/>
  <c r="U27" i="158"/>
  <c r="X27" i="158"/>
  <c r="V27" i="158"/>
  <c r="W27" i="158"/>
  <c r="AG21" i="158"/>
  <c r="AJ21" i="158"/>
  <c r="U21" i="158"/>
  <c r="AH21" i="158"/>
  <c r="AI21" i="158"/>
  <c r="AK21" i="158"/>
  <c r="Z21" i="158"/>
  <c r="T21" i="158"/>
  <c r="V21" i="158"/>
  <c r="W21" i="158"/>
  <c r="X21" i="158"/>
  <c r="Y21" i="158"/>
  <c r="AA21" i="158"/>
  <c r="AB21" i="158"/>
  <c r="AC21" i="158"/>
  <c r="AE21" i="158"/>
  <c r="AF21" i="158"/>
  <c r="AD21" i="158"/>
  <c r="S21" i="158"/>
  <c r="AE18" i="158"/>
  <c r="AE20" i="158"/>
  <c r="S20" i="158"/>
  <c r="AH20" i="158"/>
  <c r="AJ20" i="158"/>
  <c r="AK20" i="158"/>
  <c r="U20" i="158"/>
  <c r="V20" i="158"/>
  <c r="W20" i="158"/>
  <c r="X20" i="158"/>
  <c r="AF20" i="158"/>
  <c r="AG20" i="158"/>
  <c r="AI20" i="158"/>
  <c r="T20" i="158"/>
  <c r="Y20" i="158"/>
  <c r="AA20" i="158"/>
  <c r="Z20" i="158"/>
  <c r="AB20" i="158"/>
  <c r="AC20" i="158"/>
  <c r="AD20" i="158"/>
  <c r="AC19" i="158"/>
  <c r="V19" i="158"/>
  <c r="AD19" i="158"/>
  <c r="S19" i="158"/>
  <c r="AE19" i="158"/>
  <c r="AF19" i="158"/>
  <c r="AH19" i="158"/>
  <c r="AJ19" i="158"/>
  <c r="AK19" i="158"/>
  <c r="AG19" i="158"/>
  <c r="AI19" i="158"/>
  <c r="T19" i="158"/>
  <c r="U19" i="158"/>
  <c r="W19" i="158"/>
  <c r="X19" i="158"/>
  <c r="AB19" i="158"/>
  <c r="Y19" i="158"/>
  <c r="AA19" i="158"/>
  <c r="Z19" i="158"/>
  <c r="V24" i="158"/>
  <c r="AC24" i="158"/>
  <c r="AE24" i="158"/>
  <c r="AF24" i="158"/>
  <c r="T24" i="158"/>
  <c r="U24" i="158"/>
  <c r="W24" i="158"/>
  <c r="X24" i="158"/>
  <c r="Y24" i="158"/>
  <c r="Z24" i="158"/>
  <c r="AA24" i="158"/>
  <c r="AB24" i="158"/>
  <c r="AD24" i="158"/>
  <c r="AG24" i="158"/>
  <c r="AH24" i="158"/>
  <c r="AI24" i="158"/>
  <c r="S24" i="158"/>
  <c r="AK24" i="158"/>
  <c r="AJ24" i="158"/>
  <c r="AD18" i="158"/>
  <c r="AH18" i="158"/>
  <c r="S18" i="158"/>
  <c r="U25" i="158"/>
  <c r="X25" i="158"/>
  <c r="Z25" i="158"/>
  <c r="AB25" i="158"/>
  <c r="AC25" i="158"/>
  <c r="AD25" i="158"/>
  <c r="V25" i="158"/>
  <c r="W25" i="158"/>
  <c r="Y25" i="158"/>
  <c r="AF25" i="158"/>
  <c r="AH25" i="158"/>
  <c r="AA25" i="158"/>
  <c r="AE25" i="158"/>
  <c r="AG25" i="158"/>
  <c r="AI25" i="158"/>
  <c r="AJ25" i="158"/>
  <c r="AK25" i="158"/>
  <c r="S25" i="158"/>
  <c r="T25" i="158"/>
  <c r="W26" i="158"/>
  <c r="Y26" i="158"/>
  <c r="Z26" i="158"/>
  <c r="AA26" i="158"/>
  <c r="AC26" i="158"/>
  <c r="AH26" i="158"/>
  <c r="AJ26" i="158"/>
  <c r="X26" i="158"/>
  <c r="AB26" i="158"/>
  <c r="AE26" i="158"/>
  <c r="AF26" i="158"/>
  <c r="AG26" i="158"/>
  <c r="AI26" i="158"/>
  <c r="AD26" i="158"/>
  <c r="AK26" i="158"/>
  <c r="S26" i="158"/>
  <c r="U26" i="158"/>
  <c r="T26" i="158"/>
  <c r="V26" i="158"/>
  <c r="AC18" i="158"/>
  <c r="AK18" i="158"/>
  <c r="AM18" i="158" s="1"/>
  <c r="V33" i="129"/>
  <c r="AI33" i="129"/>
  <c r="X33" i="129"/>
  <c r="AJ33" i="129"/>
  <c r="AD33" i="129"/>
  <c r="AH33" i="129"/>
  <c r="AO90" i="129"/>
  <c r="L103" i="129" s="1"/>
  <c r="X39" i="129"/>
  <c r="AK33" i="129"/>
  <c r="AB29" i="129"/>
  <c r="AG40" i="129"/>
  <c r="AE40" i="129"/>
  <c r="AC40" i="129"/>
  <c r="AF40" i="129"/>
  <c r="AF33" i="129"/>
  <c r="AD29" i="129"/>
  <c r="AM40" i="129"/>
  <c r="V40" i="129"/>
  <c r="U40" i="129"/>
  <c r="Y39" i="129"/>
  <c r="AK39" i="129"/>
  <c r="W29" i="129"/>
  <c r="AF39" i="129"/>
  <c r="AL39" i="129"/>
  <c r="AL29" i="129"/>
  <c r="Y33" i="129"/>
  <c r="AG39" i="129"/>
  <c r="AF29" i="129"/>
  <c r="X29" i="129"/>
  <c r="AL33" i="129"/>
  <c r="AI29" i="129"/>
  <c r="W39" i="129"/>
  <c r="Z39" i="129"/>
  <c r="AA39" i="129"/>
  <c r="AL47" i="129"/>
  <c r="AM29" i="129"/>
  <c r="U33" i="129"/>
  <c r="AM39" i="129"/>
  <c r="AG29" i="129"/>
  <c r="AE33" i="129"/>
  <c r="AH39" i="129"/>
  <c r="AE29" i="129"/>
  <c r="AJ29" i="129"/>
  <c r="AH29" i="129"/>
  <c r="AK29" i="129"/>
  <c r="X31" i="129"/>
  <c r="U47" i="129"/>
  <c r="V47" i="129"/>
  <c r="AI47" i="129"/>
  <c r="W47" i="129"/>
  <c r="AG47" i="129"/>
  <c r="AH47" i="129"/>
  <c r="AK47" i="129"/>
  <c r="X44" i="129"/>
  <c r="U44" i="129"/>
  <c r="W40" i="129"/>
  <c r="AH40" i="129"/>
  <c r="AI40" i="129"/>
  <c r="AD40" i="129"/>
  <c r="AJ40" i="129"/>
  <c r="AK40" i="129"/>
  <c r="AL40" i="129"/>
  <c r="AD39" i="129"/>
  <c r="AE39" i="129"/>
  <c r="AI39" i="129"/>
  <c r="AJ39" i="129"/>
  <c r="AC39" i="129"/>
  <c r="AB39" i="129"/>
  <c r="Z36" i="129"/>
  <c r="AG36" i="129"/>
  <c r="AI36" i="129"/>
  <c r="V36" i="129"/>
  <c r="W36" i="129"/>
  <c r="AE36" i="129"/>
  <c r="AM33" i="129"/>
  <c r="Y31" i="129"/>
  <c r="U29" i="129"/>
  <c r="AA29" i="129"/>
  <c r="V29" i="129"/>
  <c r="F36" i="158"/>
  <c r="F9" i="158"/>
  <c r="AM31" i="129"/>
  <c r="AK36" i="129"/>
  <c r="AL36" i="129"/>
  <c r="AM36" i="129"/>
  <c r="X40" i="129"/>
  <c r="AM37" i="129"/>
  <c r="V37" i="129"/>
  <c r="Z40" i="129"/>
  <c r="U37" i="129"/>
  <c r="AA40" i="129"/>
  <c r="AB40" i="129"/>
  <c r="AJ36" i="129"/>
  <c r="AB36" i="129"/>
  <c r="AC36" i="129"/>
  <c r="AL37" i="129"/>
  <c r="Z29" i="129"/>
  <c r="W37" i="129"/>
  <c r="Y29" i="129"/>
  <c r="X37" i="129"/>
  <c r="Q91" i="129"/>
  <c r="T91" i="129" s="1"/>
  <c r="AH31" i="129"/>
  <c r="AI31" i="129"/>
  <c r="AK37" i="129"/>
  <c r="AE37" i="129"/>
  <c r="AJ31" i="129"/>
  <c r="X47" i="129"/>
  <c r="AL44" i="129"/>
  <c r="AG44" i="129"/>
  <c r="AJ44" i="129"/>
  <c r="AK44" i="129"/>
  <c r="AI44" i="129"/>
  <c r="AH44" i="129"/>
  <c r="AF44" i="129"/>
  <c r="AA44" i="129"/>
  <c r="Z44" i="129"/>
  <c r="AK31" i="129"/>
  <c r="AA47" i="129"/>
  <c r="X36" i="129"/>
  <c r="AB37" i="129"/>
  <c r="AL31" i="129"/>
  <c r="AB47" i="129"/>
  <c r="W33" i="129"/>
  <c r="Y36" i="129"/>
  <c r="AA37" i="129"/>
  <c r="AE47" i="129"/>
  <c r="AH37" i="129"/>
  <c r="AC47" i="129"/>
  <c r="AD36" i="129"/>
  <c r="AB33" i="129"/>
  <c r="Z37" i="129"/>
  <c r="AD47" i="129"/>
  <c r="AG37" i="129"/>
  <c r="AC31" i="129"/>
  <c r="AA33" i="129"/>
  <c r="AB44" i="129"/>
  <c r="AC33" i="129"/>
  <c r="U36" i="129"/>
  <c r="U31" i="129"/>
  <c r="V31" i="129"/>
  <c r="AF31" i="129"/>
  <c r="Y37" i="129"/>
  <c r="Y44" i="129"/>
  <c r="AM44" i="129"/>
  <c r="AB31" i="129"/>
  <c r="Z33" i="129"/>
  <c r="AC37" i="129"/>
  <c r="AF47" i="129"/>
  <c r="AJ37" i="129"/>
  <c r="Y47" i="129"/>
  <c r="U39" i="129"/>
  <c r="AF36" i="129"/>
  <c r="Z31" i="129"/>
  <c r="AJ47" i="129"/>
  <c r="AA31" i="129"/>
  <c r="AM47" i="129"/>
  <c r="W44" i="129"/>
  <c r="AG31" i="129"/>
  <c r="AA36" i="129"/>
  <c r="AD37" i="129"/>
  <c r="AI37" i="129"/>
  <c r="AD31" i="129"/>
  <c r="AC44" i="129"/>
  <c r="AE31" i="129"/>
  <c r="AD44" i="129"/>
  <c r="AE44" i="129"/>
  <c r="G8" i="129"/>
  <c r="G55" i="129"/>
  <c r="G31" i="129"/>
  <c r="G80" i="129"/>
  <c r="G92" i="129"/>
  <c r="H55" i="129"/>
  <c r="H31" i="129"/>
  <c r="K30" i="129"/>
  <c r="L6" i="129"/>
  <c r="L30" i="129" s="1"/>
  <c r="K94" i="129"/>
  <c r="L81" i="129"/>
  <c r="L94" i="129" s="1"/>
  <c r="V43" i="129"/>
  <c r="AM43" i="129"/>
  <c r="U43" i="129"/>
  <c r="Z43" i="129"/>
  <c r="W43" i="129"/>
  <c r="Y43" i="129"/>
  <c r="X43" i="129"/>
  <c r="AF43" i="129"/>
  <c r="AD43" i="129"/>
  <c r="AC43" i="129"/>
  <c r="AB43" i="129"/>
  <c r="AA43" i="129"/>
  <c r="AE43" i="129"/>
  <c r="AL43" i="129"/>
  <c r="AJ43" i="129"/>
  <c r="AK43" i="129"/>
  <c r="AI43" i="129"/>
  <c r="AH43" i="129"/>
  <c r="AG43" i="129"/>
  <c r="AK32" i="129"/>
  <c r="AM32" i="129"/>
  <c r="AL32" i="129"/>
  <c r="X32" i="129"/>
  <c r="V32" i="129"/>
  <c r="U32" i="129"/>
  <c r="W32" i="129"/>
  <c r="AJ32" i="129"/>
  <c r="AC32" i="129"/>
  <c r="AB32" i="129"/>
  <c r="AA32" i="129"/>
  <c r="Y32" i="129"/>
  <c r="AH32" i="129"/>
  <c r="AG32" i="129"/>
  <c r="Z32" i="129"/>
  <c r="AI32" i="129"/>
  <c r="AD32" i="129"/>
  <c r="AF32" i="129"/>
  <c r="AE32" i="129"/>
  <c r="X35" i="129"/>
  <c r="W35" i="129"/>
  <c r="U35" i="129"/>
  <c r="V35" i="129"/>
  <c r="Z35" i="129"/>
  <c r="Y35" i="129"/>
  <c r="AI35" i="129"/>
  <c r="AG35" i="129"/>
  <c r="AF35" i="129"/>
  <c r="AE35" i="129"/>
  <c r="AD35" i="129"/>
  <c r="AH35" i="129"/>
  <c r="AM35" i="129"/>
  <c r="AL35" i="129"/>
  <c r="AK35" i="129"/>
  <c r="AJ35" i="129"/>
  <c r="AA35" i="129"/>
  <c r="AC35" i="129"/>
  <c r="AB35" i="129"/>
  <c r="V38" i="129"/>
  <c r="U38" i="129"/>
  <c r="AM38" i="129"/>
  <c r="AL38" i="129"/>
  <c r="AK38" i="129"/>
  <c r="AJ38" i="129"/>
  <c r="AF38" i="129"/>
  <c r="AA38" i="129"/>
  <c r="Z38" i="129"/>
  <c r="W38" i="129"/>
  <c r="AI38" i="129"/>
  <c r="AH38" i="129"/>
  <c r="AG38" i="129"/>
  <c r="AE38" i="129"/>
  <c r="AD38" i="129"/>
  <c r="AC38" i="129"/>
  <c r="AB38" i="129"/>
  <c r="Y38" i="129"/>
  <c r="X38" i="129"/>
  <c r="AL34" i="129"/>
  <c r="AI34" i="129"/>
  <c r="AK34" i="129"/>
  <c r="AJ34" i="129"/>
  <c r="AF34" i="129"/>
  <c r="AD34" i="129"/>
  <c r="AC34" i="129"/>
  <c r="AE34" i="129"/>
  <c r="AM34" i="129"/>
  <c r="AH34" i="129"/>
  <c r="AG34" i="129"/>
  <c r="AB34" i="129"/>
  <c r="Y34" i="129"/>
  <c r="X34" i="129"/>
  <c r="W34" i="129"/>
  <c r="V34" i="129"/>
  <c r="AA34" i="129"/>
  <c r="Z34" i="129"/>
  <c r="U34" i="129"/>
  <c r="AB28" i="129"/>
  <c r="AA28" i="129"/>
  <c r="Y28" i="129"/>
  <c r="Z28" i="129"/>
  <c r="AH28" i="129"/>
  <c r="AF28" i="129"/>
  <c r="AG28" i="129"/>
  <c r="AE28" i="129"/>
  <c r="AC28" i="129"/>
  <c r="X28" i="129"/>
  <c r="W28" i="129"/>
  <c r="V28" i="129"/>
  <c r="U28" i="129"/>
  <c r="AL28" i="129"/>
  <c r="AI28" i="129"/>
  <c r="AD28" i="129"/>
  <c r="AM28" i="129"/>
  <c r="AK28" i="129"/>
  <c r="AJ28" i="129"/>
  <c r="AG42" i="129"/>
  <c r="AD42" i="129"/>
  <c r="AF42" i="129"/>
  <c r="AE42" i="129"/>
  <c r="AH42" i="129"/>
  <c r="AC42" i="129"/>
  <c r="AB42" i="129"/>
  <c r="AA42" i="129"/>
  <c r="AJ42" i="129"/>
  <c r="Z42" i="129"/>
  <c r="Y42" i="129"/>
  <c r="X42" i="129"/>
  <c r="W42" i="129"/>
  <c r="V42" i="129"/>
  <c r="AI42" i="129"/>
  <c r="AM42" i="129"/>
  <c r="U42" i="129"/>
  <c r="AL42" i="129"/>
  <c r="AK42" i="129"/>
  <c r="Y46" i="129"/>
  <c r="X46" i="129"/>
  <c r="V46" i="129"/>
  <c r="W46" i="129"/>
  <c r="Z46" i="129"/>
  <c r="U46" i="129"/>
  <c r="AM46" i="129"/>
  <c r="AL46" i="129"/>
  <c r="AK46" i="129"/>
  <c r="AJ46" i="129"/>
  <c r="AB46" i="129"/>
  <c r="AA46" i="129"/>
  <c r="AI46" i="129"/>
  <c r="AE46" i="129"/>
  <c r="AH46" i="129"/>
  <c r="AG46" i="129"/>
  <c r="AD46" i="129"/>
  <c r="AC46" i="129"/>
  <c r="AF46" i="129"/>
  <c r="N79" i="129"/>
  <c r="AL45" i="129"/>
  <c r="AI45" i="129"/>
  <c r="AK45" i="129"/>
  <c r="AJ45" i="129"/>
  <c r="AE45" i="129"/>
  <c r="AC45" i="129"/>
  <c r="AD45" i="129"/>
  <c r="AB45" i="129"/>
  <c r="W45" i="129"/>
  <c r="V45" i="129"/>
  <c r="U45" i="129"/>
  <c r="AF45" i="129"/>
  <c r="Y45" i="129"/>
  <c r="AM45" i="129"/>
  <c r="AH45" i="129"/>
  <c r="AG45" i="129"/>
  <c r="AA45" i="129"/>
  <c r="Z45" i="129"/>
  <c r="X45" i="129"/>
  <c r="X30" i="129"/>
  <c r="W30" i="129"/>
  <c r="U30" i="129"/>
  <c r="V30" i="129"/>
  <c r="AM30" i="129"/>
  <c r="AK30" i="129"/>
  <c r="AL30" i="129"/>
  <c r="AJ30" i="129"/>
  <c r="Z30" i="129"/>
  <c r="Y30" i="129"/>
  <c r="AG30" i="129"/>
  <c r="AF30" i="129"/>
  <c r="AE30" i="129"/>
  <c r="AD30" i="129"/>
  <c r="AI30" i="129"/>
  <c r="AH30" i="129"/>
  <c r="AA30" i="129"/>
  <c r="AC30" i="129"/>
  <c r="AB30" i="129"/>
  <c r="X41" i="129"/>
  <c r="U41" i="129"/>
  <c r="W41" i="129"/>
  <c r="V41" i="129"/>
  <c r="AL41" i="129"/>
  <c r="AJ41" i="129"/>
  <c r="AI41" i="129"/>
  <c r="AK41" i="129"/>
  <c r="AF41" i="129"/>
  <c r="AD41" i="129"/>
  <c r="AC41" i="129"/>
  <c r="AB41" i="129"/>
  <c r="AA41" i="129"/>
  <c r="AE41" i="129"/>
  <c r="Z41" i="129"/>
  <c r="AG41" i="129"/>
  <c r="Y41" i="129"/>
  <c r="AM41" i="129"/>
  <c r="AH41" i="129"/>
  <c r="J40" i="158" l="1"/>
  <c r="M39" i="158"/>
  <c r="H39" i="158"/>
  <c r="L110" i="129"/>
  <c r="O110" i="129" s="1"/>
  <c r="L105" i="129"/>
  <c r="O105" i="129" s="1"/>
  <c r="L106" i="129"/>
  <c r="O106" i="129" s="1"/>
  <c r="L107" i="129"/>
  <c r="O107" i="129" s="1"/>
  <c r="L108" i="129"/>
  <c r="O108" i="129" s="1"/>
  <c r="L109" i="129"/>
  <c r="O109" i="129" s="1"/>
  <c r="L104" i="129"/>
  <c r="K103" i="129"/>
  <c r="Q103" i="129" s="1"/>
  <c r="O103" i="129"/>
  <c r="N103" i="129" s="1"/>
  <c r="H4" i="161" s="1"/>
  <c r="AA91" i="129"/>
  <c r="AF91" i="129"/>
  <c r="AB91" i="129"/>
  <c r="AE91" i="129"/>
  <c r="AC91" i="129"/>
  <c r="AD91" i="129"/>
  <c r="AG91" i="129"/>
  <c r="AH91" i="129"/>
  <c r="U91" i="129"/>
  <c r="AI91" i="129"/>
  <c r="AJ91" i="129"/>
  <c r="AK91" i="129"/>
  <c r="AL91" i="129"/>
  <c r="AM91" i="129"/>
  <c r="Z91" i="129"/>
  <c r="V91" i="129"/>
  <c r="W91" i="129"/>
  <c r="X91" i="129"/>
  <c r="Y91" i="129"/>
  <c r="AO39" i="129"/>
  <c r="AO40" i="129"/>
  <c r="AO29" i="129"/>
  <c r="AO31" i="129"/>
  <c r="AM21" i="158"/>
  <c r="AM19" i="158"/>
  <c r="AM20" i="158"/>
  <c r="AM27" i="158"/>
  <c r="F37" i="158"/>
  <c r="F10" i="158"/>
  <c r="AM23" i="158"/>
  <c r="AM26" i="158"/>
  <c r="AM25" i="158"/>
  <c r="AM22" i="158"/>
  <c r="AM24" i="158"/>
  <c r="AO44" i="129"/>
  <c r="AO33" i="129"/>
  <c r="AO36" i="129"/>
  <c r="AO47" i="129"/>
  <c r="N92" i="129"/>
  <c r="AO30" i="129"/>
  <c r="AO45" i="129"/>
  <c r="AO46" i="129"/>
  <c r="AO34" i="129"/>
  <c r="AO43" i="129"/>
  <c r="AO37" i="129"/>
  <c r="AO28" i="129"/>
  <c r="L52" i="129" s="1"/>
  <c r="AO38" i="129"/>
  <c r="AO32" i="129"/>
  <c r="G9" i="129"/>
  <c r="G56" i="129"/>
  <c r="G32" i="129"/>
  <c r="AO41" i="129"/>
  <c r="AO35" i="129"/>
  <c r="AO42" i="129"/>
  <c r="G81" i="129"/>
  <c r="G93" i="129"/>
  <c r="H56" i="129"/>
  <c r="H32" i="129"/>
  <c r="L7" i="129"/>
  <c r="L31" i="129" s="1"/>
  <c r="K31" i="129"/>
  <c r="K95" i="129"/>
  <c r="L82" i="129"/>
  <c r="L95" i="129" s="1"/>
  <c r="N80" i="129"/>
  <c r="Q80" i="129"/>
  <c r="Q79" i="129"/>
  <c r="Q92" i="129" s="1"/>
  <c r="T92" i="129" s="1"/>
  <c r="J41" i="158" l="1"/>
  <c r="M40" i="158"/>
  <c r="H40" i="158"/>
  <c r="O104" i="129"/>
  <c r="AO91" i="129"/>
  <c r="M104" i="129" s="1"/>
  <c r="K104" i="129" s="1"/>
  <c r="Q104" i="129" s="1"/>
  <c r="O52" i="129"/>
  <c r="N52" i="129" s="1"/>
  <c r="L59" i="129"/>
  <c r="O59" i="129" s="1"/>
  <c r="L60" i="129"/>
  <c r="O60" i="129" s="1"/>
  <c r="L61" i="129"/>
  <c r="O61" i="129" s="1"/>
  <c r="L58" i="129"/>
  <c r="O58" i="129" s="1"/>
  <c r="L62" i="129"/>
  <c r="O62" i="129" s="1"/>
  <c r="L64" i="129"/>
  <c r="O64" i="129" s="1"/>
  <c r="L67" i="129"/>
  <c r="O67" i="129" s="1"/>
  <c r="L56" i="129"/>
  <c r="O56" i="129" s="1"/>
  <c r="L57" i="129"/>
  <c r="O57" i="129" s="1"/>
  <c r="L63" i="129"/>
  <c r="O63" i="129" s="1"/>
  <c r="L66" i="129"/>
  <c r="O66" i="129" s="1"/>
  <c r="L68" i="129"/>
  <c r="O68" i="129" s="1"/>
  <c r="L70" i="129"/>
  <c r="O70" i="129" s="1"/>
  <c r="L71" i="129"/>
  <c r="O71" i="129" s="1"/>
  <c r="K52" i="129"/>
  <c r="Q52" i="129" s="1"/>
  <c r="L65" i="129"/>
  <c r="O65" i="129" s="1"/>
  <c r="L69" i="129"/>
  <c r="O69" i="129" s="1"/>
  <c r="L53" i="129"/>
  <c r="O53" i="129" s="1"/>
  <c r="L55" i="129"/>
  <c r="O55" i="129" s="1"/>
  <c r="L54" i="129"/>
  <c r="O54" i="129" s="1"/>
  <c r="M54" i="129"/>
  <c r="P53" i="129"/>
  <c r="AC92" i="129"/>
  <c r="AG92" i="129"/>
  <c r="AD92" i="129"/>
  <c r="AH92" i="129"/>
  <c r="AE92" i="129"/>
  <c r="AF92" i="129"/>
  <c r="AI92" i="129"/>
  <c r="U92" i="129"/>
  <c r="AJ92" i="129"/>
  <c r="AK92" i="129"/>
  <c r="V92" i="129"/>
  <c r="AL92" i="129"/>
  <c r="AM92" i="129"/>
  <c r="W92" i="129"/>
  <c r="X92" i="129"/>
  <c r="Y92" i="129"/>
  <c r="Z92" i="129"/>
  <c r="AA92" i="129"/>
  <c r="AB92" i="129"/>
  <c r="F38" i="158"/>
  <c r="F11" i="158"/>
  <c r="N93" i="129"/>
  <c r="Q93" i="129"/>
  <c r="T93" i="129" s="1"/>
  <c r="G10" i="129"/>
  <c r="G33" i="129"/>
  <c r="G57" i="129"/>
  <c r="G82" i="129"/>
  <c r="G94" i="129"/>
  <c r="K32" i="129"/>
  <c r="L8" i="129"/>
  <c r="L32" i="129" s="1"/>
  <c r="H33" i="129"/>
  <c r="H57" i="129"/>
  <c r="L83" i="129"/>
  <c r="L96" i="129" s="1"/>
  <c r="K96" i="129"/>
  <c r="N81" i="129"/>
  <c r="U9" i="155"/>
  <c r="V9" i="155"/>
  <c r="W9" i="155"/>
  <c r="X9" i="155"/>
  <c r="Y9" i="155"/>
  <c r="T9" i="155"/>
  <c r="U8" i="155"/>
  <c r="U10" i="155" s="1"/>
  <c r="V8" i="155"/>
  <c r="V10" i="155" s="1"/>
  <c r="W8" i="155"/>
  <c r="W10" i="155" s="1"/>
  <c r="X8" i="155"/>
  <c r="Y8" i="155"/>
  <c r="T8" i="155"/>
  <c r="O90" i="155"/>
  <c r="M90" i="155"/>
  <c r="O88" i="155"/>
  <c r="M88" i="155"/>
  <c r="L81" i="155"/>
  <c r="J81" i="155"/>
  <c r="I81" i="155"/>
  <c r="E107" i="155" s="1"/>
  <c r="F55" i="159" s="1"/>
  <c r="G81" i="155"/>
  <c r="C107" i="155" s="1"/>
  <c r="D55" i="159" s="1"/>
  <c r="F81" i="155"/>
  <c r="E81" i="155"/>
  <c r="D81" i="155"/>
  <c r="A80" i="155"/>
  <c r="A79" i="155"/>
  <c r="A78" i="155"/>
  <c r="A77" i="155"/>
  <c r="A76" i="155"/>
  <c r="A75" i="155"/>
  <c r="A74" i="155"/>
  <c r="C73" i="155"/>
  <c r="B73" i="155"/>
  <c r="A73" i="155"/>
  <c r="L69" i="155"/>
  <c r="J69" i="155"/>
  <c r="I69" i="155"/>
  <c r="E106" i="155" s="1"/>
  <c r="F54" i="159" s="1"/>
  <c r="G69" i="155"/>
  <c r="C106" i="155" s="1"/>
  <c r="D54" i="159" s="1"/>
  <c r="F69" i="155"/>
  <c r="E69" i="155"/>
  <c r="D69" i="155"/>
  <c r="A68" i="155"/>
  <c r="A67" i="155"/>
  <c r="A66" i="155"/>
  <c r="A65" i="155"/>
  <c r="A64" i="155"/>
  <c r="A63" i="155"/>
  <c r="A62" i="155"/>
  <c r="C61" i="155"/>
  <c r="B61" i="155"/>
  <c r="A61" i="155"/>
  <c r="H57" i="155"/>
  <c r="G57" i="155"/>
  <c r="F57" i="155"/>
  <c r="E57" i="155"/>
  <c r="D57" i="155"/>
  <c r="C57" i="155"/>
  <c r="H56" i="155"/>
  <c r="G56" i="155"/>
  <c r="F56" i="155"/>
  <c r="E56" i="155"/>
  <c r="D56" i="155"/>
  <c r="C56" i="155"/>
  <c r="F45" i="155"/>
  <c r="E45" i="155"/>
  <c r="D45" i="155"/>
  <c r="I44" i="155"/>
  <c r="L44" i="155" s="1"/>
  <c r="L38" i="155"/>
  <c r="J38" i="155"/>
  <c r="I38" i="155"/>
  <c r="E104" i="155" s="1"/>
  <c r="F52" i="159" s="1"/>
  <c r="G38" i="155"/>
  <c r="C104" i="155" s="1"/>
  <c r="D52" i="159" s="1"/>
  <c r="F38" i="155"/>
  <c r="E38" i="155"/>
  <c r="D38" i="155"/>
  <c r="A37" i="155"/>
  <c r="A36" i="155"/>
  <c r="A35" i="155"/>
  <c r="A34" i="155"/>
  <c r="A33" i="155"/>
  <c r="A32" i="155"/>
  <c r="A31" i="155"/>
  <c r="C30" i="155"/>
  <c r="B30" i="155"/>
  <c r="A30" i="155"/>
  <c r="L26" i="155"/>
  <c r="K103" i="155" s="1"/>
  <c r="L51" i="159" s="1"/>
  <c r="J26" i="155"/>
  <c r="I103" i="155" s="1"/>
  <c r="J51" i="159" s="1"/>
  <c r="I26" i="155"/>
  <c r="E103" i="155" s="1"/>
  <c r="G26" i="155"/>
  <c r="C103" i="155" s="1"/>
  <c r="A25" i="155"/>
  <c r="A24" i="155"/>
  <c r="A23" i="155"/>
  <c r="A22" i="155"/>
  <c r="A21" i="155"/>
  <c r="A20" i="155"/>
  <c r="A19" i="155"/>
  <c r="H19" i="155" s="1"/>
  <c r="K19" i="155" s="1"/>
  <c r="C18" i="155"/>
  <c r="B18" i="155"/>
  <c r="A18" i="155"/>
  <c r="H13" i="155"/>
  <c r="G13" i="155"/>
  <c r="F13" i="155"/>
  <c r="E13" i="155"/>
  <c r="D13" i="155"/>
  <c r="C13" i="155"/>
  <c r="H12" i="155"/>
  <c r="I43" i="155" s="1"/>
  <c r="L43" i="155" s="1"/>
  <c r="G12" i="155"/>
  <c r="F12" i="155"/>
  <c r="G44" i="155" s="1"/>
  <c r="E12" i="155"/>
  <c r="D12" i="155"/>
  <c r="C12" i="155"/>
  <c r="M89" i="155" l="1"/>
  <c r="I104" i="155"/>
  <c r="J52" i="159" s="1"/>
  <c r="D51" i="159"/>
  <c r="L45" i="155"/>
  <c r="K105" i="155" s="1"/>
  <c r="O91" i="155"/>
  <c r="K106" i="155"/>
  <c r="L54" i="159" s="1"/>
  <c r="F51" i="159"/>
  <c r="M92" i="155"/>
  <c r="I107" i="155"/>
  <c r="J55" i="159" s="1"/>
  <c r="M91" i="155"/>
  <c r="M94" i="155" s="1"/>
  <c r="I106" i="155"/>
  <c r="J54" i="159" s="1"/>
  <c r="O89" i="155"/>
  <c r="K104" i="155"/>
  <c r="L52" i="159" s="1"/>
  <c r="O92" i="155"/>
  <c r="K107" i="155"/>
  <c r="L55" i="159" s="1"/>
  <c r="L53" i="159"/>
  <c r="L56" i="159" s="1"/>
  <c r="K109" i="155"/>
  <c r="M41" i="158"/>
  <c r="H41" i="158"/>
  <c r="AO92" i="129"/>
  <c r="M105" i="129" s="1"/>
  <c r="K105" i="129" s="1"/>
  <c r="Q105" i="129" s="1"/>
  <c r="P104" i="129"/>
  <c r="N104" i="129"/>
  <c r="H5" i="161" s="1"/>
  <c r="K53" i="129"/>
  <c r="Q53" i="129" s="1"/>
  <c r="N53" i="129"/>
  <c r="M55" i="129"/>
  <c r="P54" i="129"/>
  <c r="N54" i="129" s="1"/>
  <c r="AE93" i="129"/>
  <c r="AF93" i="129"/>
  <c r="AG93" i="129"/>
  <c r="X93" i="129"/>
  <c r="AH93" i="129"/>
  <c r="AI93" i="129"/>
  <c r="AJ93" i="129"/>
  <c r="U93" i="129"/>
  <c r="W93" i="129"/>
  <c r="AK93" i="129"/>
  <c r="AL93" i="129"/>
  <c r="AM93" i="129"/>
  <c r="V93" i="129"/>
  <c r="AD93" i="129"/>
  <c r="Y93" i="129"/>
  <c r="Z93" i="129"/>
  <c r="AA93" i="129"/>
  <c r="AB93" i="129"/>
  <c r="AC93" i="129"/>
  <c r="K54" i="129"/>
  <c r="F12" i="158"/>
  <c r="F39" i="158"/>
  <c r="N94" i="129"/>
  <c r="Q94" i="129"/>
  <c r="T94" i="129" s="1"/>
  <c r="G11" i="129"/>
  <c r="G58" i="129"/>
  <c r="G34" i="129"/>
  <c r="G83" i="129"/>
  <c r="G95" i="129"/>
  <c r="H34" i="129"/>
  <c r="H58" i="129"/>
  <c r="K33" i="129"/>
  <c r="L9" i="129"/>
  <c r="L33" i="129" s="1"/>
  <c r="K97" i="129"/>
  <c r="L84" i="129"/>
  <c r="L97" i="129" s="1"/>
  <c r="N82" i="129"/>
  <c r="Q81" i="129"/>
  <c r="T10" i="155"/>
  <c r="Y10" i="155"/>
  <c r="X10" i="155"/>
  <c r="G43" i="155"/>
  <c r="J43" i="155" s="1"/>
  <c r="W11" i="155"/>
  <c r="V11" i="155"/>
  <c r="U11" i="155"/>
  <c r="I45" i="155"/>
  <c r="E105" i="155" s="1"/>
  <c r="F53" i="159" s="1"/>
  <c r="Y11" i="155"/>
  <c r="T11" i="155"/>
  <c r="X11" i="155"/>
  <c r="O94" i="155"/>
  <c r="J44" i="155"/>
  <c r="T85" i="135"/>
  <c r="F56" i="159" l="1"/>
  <c r="E109" i="155"/>
  <c r="J45" i="155"/>
  <c r="I105" i="155" s="1"/>
  <c r="P105" i="129"/>
  <c r="N105" i="129" s="1"/>
  <c r="H6" i="161" s="1"/>
  <c r="Q54" i="129"/>
  <c r="M56" i="129"/>
  <c r="P55" i="129"/>
  <c r="N55" i="129" s="1"/>
  <c r="AG94" i="129"/>
  <c r="AH94" i="129"/>
  <c r="AI94" i="129"/>
  <c r="AK94" i="129"/>
  <c r="AL94" i="129"/>
  <c r="Y94" i="129"/>
  <c r="AJ94" i="129"/>
  <c r="U94" i="129"/>
  <c r="AM94" i="129"/>
  <c r="AF94" i="129"/>
  <c r="V94" i="129"/>
  <c r="W94" i="129"/>
  <c r="X94" i="129"/>
  <c r="Z94" i="129"/>
  <c r="AA94" i="129"/>
  <c r="AB94" i="129"/>
  <c r="AC94" i="129"/>
  <c r="AD94" i="129"/>
  <c r="AE94" i="129"/>
  <c r="AO93" i="129"/>
  <c r="M106" i="129" s="1"/>
  <c r="K55" i="129"/>
  <c r="Q55" i="129" s="1"/>
  <c r="F40" i="158"/>
  <c r="F13" i="158"/>
  <c r="F41" i="158" s="1"/>
  <c r="N95" i="129"/>
  <c r="G12" i="129"/>
  <c r="G59" i="129"/>
  <c r="G35" i="129"/>
  <c r="G84" i="129"/>
  <c r="G96" i="129"/>
  <c r="H60" i="129"/>
  <c r="H36" i="129"/>
  <c r="L10" i="129"/>
  <c r="L34" i="129" s="1"/>
  <c r="K34" i="129"/>
  <c r="H35" i="129"/>
  <c r="H59" i="129"/>
  <c r="Q82" i="129"/>
  <c r="N83" i="129"/>
  <c r="Q83" i="129"/>
  <c r="G45" i="155"/>
  <c r="C105" i="155" s="1"/>
  <c r="D53" i="159" l="1"/>
  <c r="D56" i="159" s="1"/>
  <c r="C109" i="155"/>
  <c r="J53" i="159"/>
  <c r="J56" i="159" s="1"/>
  <c r="I109" i="155"/>
  <c r="P106" i="129"/>
  <c r="N106" i="129" s="1"/>
  <c r="H7" i="161" s="1"/>
  <c r="M57" i="129"/>
  <c r="P56" i="129"/>
  <c r="N56" i="129" s="1"/>
  <c r="K106" i="129"/>
  <c r="Q106" i="129" s="1"/>
  <c r="AO94" i="129"/>
  <c r="M107" i="129" s="1"/>
  <c r="K56" i="129"/>
  <c r="Q56" i="129" s="1"/>
  <c r="Q95" i="129"/>
  <c r="T95" i="129" s="1"/>
  <c r="N96" i="129"/>
  <c r="Q96" i="129"/>
  <c r="T96" i="129" s="1"/>
  <c r="G13" i="129"/>
  <c r="G36" i="129"/>
  <c r="G60" i="129"/>
  <c r="G97" i="129"/>
  <c r="H37" i="129"/>
  <c r="H61" i="129"/>
  <c r="K35" i="129"/>
  <c r="L11" i="129"/>
  <c r="L35" i="129" s="1"/>
  <c r="K36" i="129"/>
  <c r="L12" i="129"/>
  <c r="L36" i="129" s="1"/>
  <c r="N84" i="129"/>
  <c r="A80" i="154"/>
  <c r="A79" i="154"/>
  <c r="A78" i="154"/>
  <c r="A77" i="154"/>
  <c r="A76" i="154"/>
  <c r="A75" i="154"/>
  <c r="A74" i="154"/>
  <c r="C73" i="154"/>
  <c r="B73" i="154"/>
  <c r="A73" i="154"/>
  <c r="A68" i="154"/>
  <c r="A67" i="154"/>
  <c r="A66" i="154"/>
  <c r="A65" i="154"/>
  <c r="A64" i="154"/>
  <c r="A63" i="154"/>
  <c r="A62" i="154"/>
  <c r="C61" i="154"/>
  <c r="B61" i="154"/>
  <c r="A61" i="154"/>
  <c r="H57" i="154"/>
  <c r="G57" i="154"/>
  <c r="F57" i="154"/>
  <c r="E57" i="154"/>
  <c r="D57" i="154"/>
  <c r="C57" i="154"/>
  <c r="H56" i="154"/>
  <c r="G56" i="154"/>
  <c r="F56" i="154"/>
  <c r="E56" i="154"/>
  <c r="D56" i="154"/>
  <c r="C56" i="154"/>
  <c r="A37" i="154"/>
  <c r="A36" i="154"/>
  <c r="A35" i="154"/>
  <c r="A34" i="154"/>
  <c r="A33" i="154"/>
  <c r="A32" i="154"/>
  <c r="A31" i="154"/>
  <c r="C30" i="154"/>
  <c r="B30" i="154"/>
  <c r="A30" i="154"/>
  <c r="A25" i="154"/>
  <c r="A24" i="154"/>
  <c r="A23" i="154"/>
  <c r="A22" i="154"/>
  <c r="A21" i="154"/>
  <c r="A20" i="154"/>
  <c r="A19" i="154"/>
  <c r="C18" i="154"/>
  <c r="B18" i="154"/>
  <c r="A18" i="154"/>
  <c r="H13" i="154"/>
  <c r="G13" i="154"/>
  <c r="F13" i="154"/>
  <c r="E13" i="154"/>
  <c r="D13" i="154"/>
  <c r="C13" i="154"/>
  <c r="H12" i="154"/>
  <c r="E12" i="154"/>
  <c r="D12" i="154"/>
  <c r="C12" i="154"/>
  <c r="H12" i="51"/>
  <c r="G12" i="51"/>
  <c r="F12" i="51"/>
  <c r="E12" i="51"/>
  <c r="D12" i="51"/>
  <c r="C12" i="51"/>
  <c r="F57" i="51"/>
  <c r="H57" i="51"/>
  <c r="G57" i="51"/>
  <c r="H56" i="51"/>
  <c r="G56" i="51"/>
  <c r="F56" i="51"/>
  <c r="E56" i="51"/>
  <c r="C57" i="51"/>
  <c r="C56" i="51"/>
  <c r="D56" i="51"/>
  <c r="E57" i="51"/>
  <c r="D57" i="51"/>
  <c r="F13" i="51"/>
  <c r="G13" i="51"/>
  <c r="H13" i="51"/>
  <c r="C13" i="51"/>
  <c r="D13" i="51"/>
  <c r="E13" i="51"/>
  <c r="P107" i="129" l="1"/>
  <c r="N107" i="129" s="1"/>
  <c r="H8" i="161" s="1"/>
  <c r="M58" i="129"/>
  <c r="P57" i="129"/>
  <c r="N57" i="129" s="1"/>
  <c r="AI95" i="129"/>
  <c r="AJ95" i="129"/>
  <c r="AM95" i="129"/>
  <c r="AK95" i="129"/>
  <c r="AL95" i="129"/>
  <c r="U95" i="129"/>
  <c r="AB95" i="129"/>
  <c r="V95" i="129"/>
  <c r="W95" i="129"/>
  <c r="X95" i="129"/>
  <c r="Y95" i="129"/>
  <c r="Z95" i="129"/>
  <c r="AA95" i="129"/>
  <c r="AC95" i="129"/>
  <c r="AD95" i="129"/>
  <c r="AE95" i="129"/>
  <c r="AF95" i="129"/>
  <c r="AG95" i="129"/>
  <c r="AH95" i="129"/>
  <c r="AK96" i="129"/>
  <c r="V96" i="129"/>
  <c r="AC96" i="129"/>
  <c r="AL96" i="129"/>
  <c r="AM96" i="129"/>
  <c r="U96" i="129"/>
  <c r="W96" i="129"/>
  <c r="X96" i="129"/>
  <c r="Y96" i="129"/>
  <c r="AD96" i="129"/>
  <c r="Z96" i="129"/>
  <c r="AA96" i="129"/>
  <c r="AB96" i="129"/>
  <c r="AJ96" i="129"/>
  <c r="AE96" i="129"/>
  <c r="AF96" i="129"/>
  <c r="AG96" i="129"/>
  <c r="AH96" i="129"/>
  <c r="AI96" i="129"/>
  <c r="K107" i="129"/>
  <c r="Q107" i="129" s="1"/>
  <c r="K57" i="129"/>
  <c r="Q57" i="129" s="1"/>
  <c r="N97" i="129"/>
  <c r="G14" i="129"/>
  <c r="G37" i="129"/>
  <c r="G61" i="129"/>
  <c r="L13" i="129"/>
  <c r="L37" i="129" s="1"/>
  <c r="K37" i="129"/>
  <c r="H62" i="129"/>
  <c r="H38" i="129"/>
  <c r="Q84" i="129"/>
  <c r="B73" i="51"/>
  <c r="C73" i="51"/>
  <c r="A74" i="51"/>
  <c r="A75" i="51"/>
  <c r="A76" i="51"/>
  <c r="A77" i="51"/>
  <c r="A78" i="51"/>
  <c r="A79" i="51"/>
  <c r="A80" i="51"/>
  <c r="A73" i="51"/>
  <c r="B61" i="51"/>
  <c r="C61" i="51"/>
  <c r="A61" i="51"/>
  <c r="A63" i="51"/>
  <c r="A64" i="51"/>
  <c r="A65" i="51"/>
  <c r="A66" i="51"/>
  <c r="A67" i="51"/>
  <c r="A68" i="51"/>
  <c r="A62" i="51"/>
  <c r="M59" i="129" l="1"/>
  <c r="P58" i="129"/>
  <c r="N58" i="129" s="1"/>
  <c r="AO96" i="129"/>
  <c r="AO95" i="129"/>
  <c r="M108" i="129" s="1"/>
  <c r="M109" i="129" s="1"/>
  <c r="K58" i="129"/>
  <c r="Q58" i="129" s="1"/>
  <c r="Q97" i="129"/>
  <c r="T97" i="129" s="1"/>
  <c r="G15" i="129"/>
  <c r="G38" i="129"/>
  <c r="G62" i="129"/>
  <c r="L14" i="129"/>
  <c r="L38" i="129" s="1"/>
  <c r="K38" i="129"/>
  <c r="H39" i="129"/>
  <c r="H63" i="129"/>
  <c r="B18" i="51"/>
  <c r="A19" i="51"/>
  <c r="A20" i="51"/>
  <c r="A21" i="51"/>
  <c r="A22" i="51"/>
  <c r="A23" i="51"/>
  <c r="A24" i="51"/>
  <c r="A25" i="51"/>
  <c r="A18" i="51"/>
  <c r="C30" i="51"/>
  <c r="B30" i="51"/>
  <c r="A37" i="51"/>
  <c r="A32" i="51"/>
  <c r="A33" i="51"/>
  <c r="A34" i="51"/>
  <c r="A35" i="51"/>
  <c r="A36" i="51"/>
  <c r="A30" i="51"/>
  <c r="A31" i="51"/>
  <c r="G70" i="135"/>
  <c r="P108" i="129" l="1"/>
  <c r="N108" i="129" s="1"/>
  <c r="H9" i="161" s="1"/>
  <c r="P109" i="129"/>
  <c r="N109" i="129" s="1"/>
  <c r="H10" i="161" s="1"/>
  <c r="M60" i="129"/>
  <c r="P59" i="129"/>
  <c r="N59" i="129" s="1"/>
  <c r="AM97" i="129"/>
  <c r="W97" i="129"/>
  <c r="AF97" i="129"/>
  <c r="U97" i="129"/>
  <c r="X97" i="129"/>
  <c r="V97" i="129"/>
  <c r="Y97" i="129"/>
  <c r="Z97" i="129"/>
  <c r="AA97" i="129"/>
  <c r="AB97" i="129"/>
  <c r="AC97" i="129"/>
  <c r="AD97" i="129"/>
  <c r="AE97" i="129"/>
  <c r="AG97" i="129"/>
  <c r="AH97" i="129"/>
  <c r="AI97" i="129"/>
  <c r="AJ97" i="129"/>
  <c r="AK97" i="129"/>
  <c r="AL97" i="129"/>
  <c r="K108" i="129"/>
  <c r="Q108" i="129" s="1"/>
  <c r="K109" i="129"/>
  <c r="Q109" i="129" s="1"/>
  <c r="K59" i="129"/>
  <c r="Q59" i="129" s="1"/>
  <c r="G16" i="129"/>
  <c r="G39" i="129"/>
  <c r="G63" i="129"/>
  <c r="H40" i="129"/>
  <c r="H64" i="129"/>
  <c r="K39" i="129"/>
  <c r="L15" i="129"/>
  <c r="L39" i="129" s="1"/>
  <c r="M61" i="129" l="1"/>
  <c r="P60" i="129"/>
  <c r="N60" i="129" s="1"/>
  <c r="AO97" i="129"/>
  <c r="M110" i="129" s="1"/>
  <c r="P110" i="129" s="1"/>
  <c r="N110" i="129" s="1"/>
  <c r="H11" i="161" s="1"/>
  <c r="K60" i="129"/>
  <c r="Q60" i="129" s="1"/>
  <c r="G17" i="129"/>
  <c r="G40" i="129"/>
  <c r="G64" i="129"/>
  <c r="K40" i="129"/>
  <c r="L16" i="129"/>
  <c r="L40" i="129" s="1"/>
  <c r="H41" i="129"/>
  <c r="H65" i="129"/>
  <c r="Y6" i="135"/>
  <c r="Y9" i="135"/>
  <c r="Y8" i="135"/>
  <c r="H44" i="155" s="1"/>
  <c r="K44" i="155" s="1"/>
  <c r="Y3" i="135"/>
  <c r="Y4" i="135"/>
  <c r="Y5" i="135"/>
  <c r="Y7" i="135"/>
  <c r="W2" i="135"/>
  <c r="W6" i="135"/>
  <c r="W9" i="135"/>
  <c r="W5" i="135"/>
  <c r="W7" i="135"/>
  <c r="W8" i="135"/>
  <c r="W3" i="135"/>
  <c r="W4" i="135"/>
  <c r="M62" i="129" l="1"/>
  <c r="P61" i="129"/>
  <c r="N61" i="129" s="1"/>
  <c r="K110" i="129"/>
  <c r="Q110" i="129" s="1"/>
  <c r="K61" i="129"/>
  <c r="Q61" i="129" s="1"/>
  <c r="H78" i="155"/>
  <c r="K78" i="155" s="1"/>
  <c r="H35" i="155"/>
  <c r="K35" i="155" s="1"/>
  <c r="H74" i="155"/>
  <c r="K74" i="155" s="1"/>
  <c r="H31" i="155"/>
  <c r="K31" i="155" s="1"/>
  <c r="H34" i="155"/>
  <c r="K34" i="155" s="1"/>
  <c r="H77" i="155"/>
  <c r="K77" i="155" s="1"/>
  <c r="B80" i="155"/>
  <c r="B37" i="155"/>
  <c r="H32" i="155"/>
  <c r="K32" i="155" s="1"/>
  <c r="H75" i="155"/>
  <c r="K75" i="155" s="1"/>
  <c r="B76" i="155"/>
  <c r="B33" i="155"/>
  <c r="B74" i="155"/>
  <c r="B31" i="155"/>
  <c r="B32" i="155"/>
  <c r="B75" i="155"/>
  <c r="B78" i="155"/>
  <c r="B35" i="155"/>
  <c r="B44" i="154"/>
  <c r="B44" i="155"/>
  <c r="B34" i="155"/>
  <c r="B77" i="155"/>
  <c r="H79" i="155"/>
  <c r="K79" i="155" s="1"/>
  <c r="H36" i="155"/>
  <c r="K36" i="155" s="1"/>
  <c r="H43" i="155"/>
  <c r="K43" i="155" s="1"/>
  <c r="H33" i="155"/>
  <c r="K33" i="155" s="1"/>
  <c r="H76" i="155"/>
  <c r="K76" i="155" s="1"/>
  <c r="H37" i="155"/>
  <c r="K37" i="155" s="1"/>
  <c r="H80" i="155"/>
  <c r="K80" i="155" s="1"/>
  <c r="B36" i="155"/>
  <c r="B79" i="155"/>
  <c r="G18" i="129"/>
  <c r="G65" i="129"/>
  <c r="G41" i="129"/>
  <c r="K41" i="129"/>
  <c r="L17" i="129"/>
  <c r="L41" i="129" s="1"/>
  <c r="H42" i="129"/>
  <c r="H66" i="129"/>
  <c r="B19" i="51"/>
  <c r="B62" i="155"/>
  <c r="B19" i="155"/>
  <c r="L9" i="135"/>
  <c r="H68" i="155" s="1"/>
  <c r="K68" i="155" s="1"/>
  <c r="L8" i="135"/>
  <c r="H21" i="155"/>
  <c r="K21" i="155" s="1"/>
  <c r="H20" i="155"/>
  <c r="K20" i="155" s="1"/>
  <c r="J7" i="135"/>
  <c r="J4" i="135"/>
  <c r="J6" i="135"/>
  <c r="J9" i="135"/>
  <c r="J5" i="135"/>
  <c r="J3" i="135"/>
  <c r="J8" i="135"/>
  <c r="B19" i="154"/>
  <c r="B78" i="51"/>
  <c r="B78" i="154"/>
  <c r="B35" i="154"/>
  <c r="B76" i="51"/>
  <c r="B33" i="154"/>
  <c r="B76" i="154"/>
  <c r="B79" i="51"/>
  <c r="B79" i="154"/>
  <c r="B36" i="154"/>
  <c r="B75" i="51"/>
  <c r="B75" i="154"/>
  <c r="B32" i="154"/>
  <c r="B74" i="51"/>
  <c r="B74" i="154"/>
  <c r="B31" i="154"/>
  <c r="B77" i="51"/>
  <c r="B77" i="154"/>
  <c r="B34" i="154"/>
  <c r="B80" i="51"/>
  <c r="B37" i="154"/>
  <c r="B80" i="154"/>
  <c r="B44" i="51"/>
  <c r="B34" i="51"/>
  <c r="B37" i="51"/>
  <c r="B32" i="51"/>
  <c r="B33" i="51"/>
  <c r="B35" i="51"/>
  <c r="B36" i="51"/>
  <c r="B31" i="51"/>
  <c r="W11" i="135"/>
  <c r="X2" i="135" s="1"/>
  <c r="M63" i="129" l="1"/>
  <c r="P62" i="129"/>
  <c r="N62" i="129" s="1"/>
  <c r="K62" i="129"/>
  <c r="Q62" i="129" s="1"/>
  <c r="B38" i="155"/>
  <c r="C31" i="155" s="1"/>
  <c r="B81" i="155"/>
  <c r="C76" i="155"/>
  <c r="K38" i="155"/>
  <c r="H38" i="155"/>
  <c r="D104" i="155" s="1"/>
  <c r="E52" i="159" s="1"/>
  <c r="C79" i="155"/>
  <c r="C36" i="155"/>
  <c r="K81" i="155"/>
  <c r="H81" i="155"/>
  <c r="D107" i="155" s="1"/>
  <c r="E55" i="159" s="1"/>
  <c r="C32" i="155"/>
  <c r="C37" i="155"/>
  <c r="C77" i="155"/>
  <c r="C34" i="155"/>
  <c r="G19" i="129"/>
  <c r="G66" i="129"/>
  <c r="G42" i="129"/>
  <c r="L18" i="129"/>
  <c r="L42" i="129" s="1"/>
  <c r="K42" i="129"/>
  <c r="H67" i="129"/>
  <c r="H43" i="129"/>
  <c r="H62" i="155"/>
  <c r="K62" i="155" s="1"/>
  <c r="H63" i="155"/>
  <c r="K63" i="155" s="1"/>
  <c r="H22" i="155"/>
  <c r="K22" i="155" s="1"/>
  <c r="H65" i="155"/>
  <c r="K65" i="155" s="1"/>
  <c r="H23" i="155"/>
  <c r="K23" i="155" s="1"/>
  <c r="H66" i="155"/>
  <c r="K66" i="155" s="1"/>
  <c r="H24" i="155"/>
  <c r="K24" i="155" s="1"/>
  <c r="H67" i="155"/>
  <c r="K67" i="155" s="1"/>
  <c r="H64" i="155"/>
  <c r="K64" i="155" s="1"/>
  <c r="H25" i="155"/>
  <c r="K25" i="155" s="1"/>
  <c r="B21" i="51"/>
  <c r="B21" i="155"/>
  <c r="B64" i="155"/>
  <c r="B25" i="51"/>
  <c r="B25" i="155"/>
  <c r="B68" i="155"/>
  <c r="B23" i="51"/>
  <c r="B23" i="155"/>
  <c r="B66" i="155"/>
  <c r="B63" i="51"/>
  <c r="B63" i="155"/>
  <c r="B20" i="155"/>
  <c r="B43" i="154"/>
  <c r="B45" i="154" s="1"/>
  <c r="C43" i="154" s="1"/>
  <c r="B43" i="155"/>
  <c r="B24" i="51"/>
  <c r="B24" i="155"/>
  <c r="B67" i="155"/>
  <c r="B65" i="51"/>
  <c r="B65" i="155"/>
  <c r="B22" i="155"/>
  <c r="B43" i="51"/>
  <c r="B62" i="51"/>
  <c r="B21" i="154"/>
  <c r="B64" i="154"/>
  <c r="B64" i="51"/>
  <c r="B25" i="154"/>
  <c r="B68" i="154"/>
  <c r="B68" i="51"/>
  <c r="B66" i="154"/>
  <c r="B23" i="154"/>
  <c r="B66" i="51"/>
  <c r="B24" i="154"/>
  <c r="B22" i="51"/>
  <c r="B67" i="154"/>
  <c r="B67" i="51"/>
  <c r="B20" i="51"/>
  <c r="B65" i="154"/>
  <c r="B22" i="154"/>
  <c r="B20" i="154"/>
  <c r="J11" i="135"/>
  <c r="B63" i="154"/>
  <c r="B62" i="154"/>
  <c r="B81" i="51"/>
  <c r="I53" i="51" s="1"/>
  <c r="D77" i="51" s="1"/>
  <c r="B38" i="154"/>
  <c r="C78" i="154" s="1"/>
  <c r="B81" i="154"/>
  <c r="B38" i="51"/>
  <c r="X4" i="135"/>
  <c r="X8" i="135"/>
  <c r="X6" i="135"/>
  <c r="X3" i="135"/>
  <c r="X5" i="135"/>
  <c r="X7" i="135"/>
  <c r="X9" i="135"/>
  <c r="G77" i="51" l="1"/>
  <c r="M64" i="129"/>
  <c r="P63" i="129"/>
  <c r="N63" i="129" s="1"/>
  <c r="K63" i="129"/>
  <c r="Q63" i="129" s="1"/>
  <c r="D78" i="51"/>
  <c r="D76" i="51"/>
  <c r="C75" i="155"/>
  <c r="C33" i="155"/>
  <c r="C74" i="155"/>
  <c r="D74" i="51"/>
  <c r="D80" i="51"/>
  <c r="C80" i="155"/>
  <c r="J53" i="155"/>
  <c r="K53" i="155"/>
  <c r="I53" i="155"/>
  <c r="N89" i="155"/>
  <c r="J104" i="155"/>
  <c r="K52" i="159" s="1"/>
  <c r="N92" i="155"/>
  <c r="J107" i="155"/>
  <c r="K55" i="159" s="1"/>
  <c r="D79" i="51"/>
  <c r="D75" i="51"/>
  <c r="C35" i="155"/>
  <c r="I8" i="155"/>
  <c r="J8" i="155"/>
  <c r="K8" i="155"/>
  <c r="C78" i="155"/>
  <c r="G20" i="129"/>
  <c r="G67" i="129"/>
  <c r="G43" i="129"/>
  <c r="H68" i="129"/>
  <c r="H44" i="129"/>
  <c r="L19" i="129"/>
  <c r="L43" i="129" s="1"/>
  <c r="K43" i="129"/>
  <c r="H69" i="155"/>
  <c r="D106" i="155" s="1"/>
  <c r="E54" i="159" s="1"/>
  <c r="K69" i="155"/>
  <c r="B69" i="155"/>
  <c r="K52" i="155" s="1"/>
  <c r="K9" i="154"/>
  <c r="F44" i="154" s="1"/>
  <c r="I44" i="154" s="1"/>
  <c r="L44" i="154" s="1"/>
  <c r="J9" i="154"/>
  <c r="E44" i="154" s="1"/>
  <c r="H44" i="154" s="1"/>
  <c r="K44" i="154" s="1"/>
  <c r="I9" i="154"/>
  <c r="D43" i="154" s="1"/>
  <c r="G43" i="154" s="1"/>
  <c r="J43" i="154" s="1"/>
  <c r="C44" i="154"/>
  <c r="C45" i="154" s="1"/>
  <c r="K45" i="155"/>
  <c r="J105" i="155" s="1"/>
  <c r="K53" i="159" s="1"/>
  <c r="H45" i="155"/>
  <c r="D105" i="155" s="1"/>
  <c r="E53" i="159" s="1"/>
  <c r="H26" i="155"/>
  <c r="D103" i="155" s="1"/>
  <c r="E51" i="159" s="1"/>
  <c r="B45" i="155"/>
  <c r="B26" i="155"/>
  <c r="B26" i="51"/>
  <c r="I7" i="51" s="1"/>
  <c r="D19" i="51" s="1"/>
  <c r="B26" i="154"/>
  <c r="C25" i="154" s="1"/>
  <c r="B69" i="51"/>
  <c r="C63" i="51" s="1"/>
  <c r="K7" i="135"/>
  <c r="K6" i="135"/>
  <c r="B69" i="154"/>
  <c r="C68" i="154" s="1"/>
  <c r="K9" i="135"/>
  <c r="K4" i="135"/>
  <c r="K3" i="135"/>
  <c r="K8" i="135"/>
  <c r="K5" i="135"/>
  <c r="J53" i="51"/>
  <c r="K53" i="51"/>
  <c r="J8" i="51"/>
  <c r="K8" i="51"/>
  <c r="I8" i="51"/>
  <c r="C31" i="154"/>
  <c r="C80" i="154"/>
  <c r="C35" i="154"/>
  <c r="C77" i="154"/>
  <c r="C34" i="154"/>
  <c r="C32" i="154"/>
  <c r="C76" i="154"/>
  <c r="C75" i="154"/>
  <c r="C79" i="154"/>
  <c r="C74" i="154"/>
  <c r="C33" i="154"/>
  <c r="C37" i="154"/>
  <c r="C36" i="154"/>
  <c r="J8" i="154"/>
  <c r="K8" i="154"/>
  <c r="I8" i="154"/>
  <c r="C79" i="51"/>
  <c r="C77" i="51"/>
  <c r="C76" i="51"/>
  <c r="C80" i="51"/>
  <c r="C74" i="51"/>
  <c r="C75" i="51"/>
  <c r="C78" i="51"/>
  <c r="B45" i="51"/>
  <c r="C31" i="51"/>
  <c r="C33" i="51"/>
  <c r="C37" i="51"/>
  <c r="C32" i="51"/>
  <c r="C34" i="51"/>
  <c r="C35" i="51"/>
  <c r="C36" i="51"/>
  <c r="C38" i="155" l="1"/>
  <c r="G19" i="51"/>
  <c r="J19" i="51" s="1"/>
  <c r="G78" i="51"/>
  <c r="G75" i="51"/>
  <c r="G80" i="51"/>
  <c r="G74" i="51"/>
  <c r="G76" i="51"/>
  <c r="G79" i="51"/>
  <c r="M65" i="129"/>
  <c r="P64" i="129"/>
  <c r="N64" i="129" s="1"/>
  <c r="K64" i="129"/>
  <c r="Q64" i="129" s="1"/>
  <c r="C81" i="155"/>
  <c r="F75" i="51"/>
  <c r="F76" i="51"/>
  <c r="F77" i="51"/>
  <c r="F79" i="51"/>
  <c r="F74" i="51"/>
  <c r="F80" i="51"/>
  <c r="F78" i="51"/>
  <c r="E75" i="51"/>
  <c r="E76" i="51"/>
  <c r="E78" i="51"/>
  <c r="E77" i="51"/>
  <c r="E74" i="51"/>
  <c r="E79" i="51"/>
  <c r="E80" i="51"/>
  <c r="D33" i="51"/>
  <c r="D32" i="51"/>
  <c r="D37" i="51"/>
  <c r="D36" i="51"/>
  <c r="D35" i="51"/>
  <c r="D31" i="51"/>
  <c r="D34" i="51"/>
  <c r="F36" i="51"/>
  <c r="F33" i="51"/>
  <c r="F35" i="51"/>
  <c r="F32" i="51"/>
  <c r="F37" i="51"/>
  <c r="F31" i="51"/>
  <c r="F34" i="51"/>
  <c r="E35" i="51"/>
  <c r="E37" i="51"/>
  <c r="E31" i="51"/>
  <c r="E33" i="51"/>
  <c r="E32" i="51"/>
  <c r="E34" i="51"/>
  <c r="E36" i="51"/>
  <c r="E56" i="159"/>
  <c r="G21" i="129"/>
  <c r="G68" i="129"/>
  <c r="G44" i="129"/>
  <c r="H69" i="129"/>
  <c r="H45" i="129"/>
  <c r="L20" i="129"/>
  <c r="L44" i="129" s="1"/>
  <c r="K44" i="129"/>
  <c r="K26" i="155"/>
  <c r="N88" i="155" s="1"/>
  <c r="D109" i="155"/>
  <c r="N91" i="155"/>
  <c r="J106" i="155"/>
  <c r="K54" i="159" s="1"/>
  <c r="N44" i="154"/>
  <c r="C65" i="155"/>
  <c r="C64" i="155"/>
  <c r="C62" i="155"/>
  <c r="C67" i="155"/>
  <c r="C68" i="155"/>
  <c r="C66" i="155"/>
  <c r="I52" i="155"/>
  <c r="J52" i="155"/>
  <c r="C63" i="155"/>
  <c r="C24" i="155"/>
  <c r="D21" i="51"/>
  <c r="G21" i="51" s="1"/>
  <c r="J21" i="51" s="1"/>
  <c r="D22" i="51"/>
  <c r="D25" i="51"/>
  <c r="D24" i="51"/>
  <c r="D20" i="51"/>
  <c r="G20" i="51" s="1"/>
  <c r="J20" i="51" s="1"/>
  <c r="D23" i="51"/>
  <c r="F43" i="154"/>
  <c r="I43" i="154" s="1"/>
  <c r="L43" i="154" s="1"/>
  <c r="E43" i="154"/>
  <c r="D44" i="154"/>
  <c r="G44" i="154" s="1"/>
  <c r="J44" i="154" s="1"/>
  <c r="C23" i="155"/>
  <c r="C22" i="155"/>
  <c r="C25" i="155"/>
  <c r="K7" i="155"/>
  <c r="J7" i="155"/>
  <c r="I7" i="155"/>
  <c r="C19" i="155"/>
  <c r="M52" i="155"/>
  <c r="N90" i="155"/>
  <c r="C21" i="155"/>
  <c r="L52" i="155"/>
  <c r="N52" i="155"/>
  <c r="C20" i="155"/>
  <c r="J9" i="155"/>
  <c r="I9" i="155"/>
  <c r="K9" i="155"/>
  <c r="C44" i="155"/>
  <c r="L53" i="155"/>
  <c r="C43" i="155"/>
  <c r="N53" i="155"/>
  <c r="M53" i="155"/>
  <c r="C22" i="51"/>
  <c r="J7" i="51"/>
  <c r="E19" i="51" s="1"/>
  <c r="K7" i="51"/>
  <c r="F19" i="51" s="1"/>
  <c r="C23" i="51"/>
  <c r="C21" i="51"/>
  <c r="C20" i="51"/>
  <c r="C19" i="51"/>
  <c r="C25" i="51"/>
  <c r="C24" i="51"/>
  <c r="C64" i="154"/>
  <c r="C63" i="154"/>
  <c r="K53" i="154"/>
  <c r="F76" i="154" s="1"/>
  <c r="I76" i="154" s="1"/>
  <c r="L76" i="154" s="1"/>
  <c r="J52" i="154"/>
  <c r="E66" i="154" s="1"/>
  <c r="H66" i="154" s="1"/>
  <c r="K66" i="154" s="1"/>
  <c r="C62" i="51"/>
  <c r="J7" i="154"/>
  <c r="E24" i="154" s="1"/>
  <c r="H24" i="154" s="1"/>
  <c r="K24" i="154" s="1"/>
  <c r="C22" i="154"/>
  <c r="K52" i="154"/>
  <c r="F67" i="154" s="1"/>
  <c r="I67" i="154" s="1"/>
  <c r="L67" i="154" s="1"/>
  <c r="J52" i="51"/>
  <c r="E62" i="51" s="1"/>
  <c r="C24" i="154"/>
  <c r="K7" i="154"/>
  <c r="F22" i="154" s="1"/>
  <c r="I22" i="154" s="1"/>
  <c r="L22" i="154" s="1"/>
  <c r="C21" i="154"/>
  <c r="C19" i="154"/>
  <c r="I7" i="154"/>
  <c r="D23" i="154" s="1"/>
  <c r="G23" i="154" s="1"/>
  <c r="J23" i="154" s="1"/>
  <c r="C20" i="154"/>
  <c r="C23" i="154"/>
  <c r="C62" i="154"/>
  <c r="I52" i="51"/>
  <c r="M53" i="51"/>
  <c r="C68" i="51"/>
  <c r="K52" i="51"/>
  <c r="F62" i="51" s="1"/>
  <c r="N53" i="51"/>
  <c r="L53" i="51"/>
  <c r="N52" i="51"/>
  <c r="M52" i="51"/>
  <c r="C67" i="51"/>
  <c r="L52" i="51"/>
  <c r="C64" i="51"/>
  <c r="J53" i="154"/>
  <c r="E76" i="154" s="1"/>
  <c r="H76" i="154" s="1"/>
  <c r="K76" i="154" s="1"/>
  <c r="I52" i="154"/>
  <c r="D64" i="154" s="1"/>
  <c r="G64" i="154" s="1"/>
  <c r="J64" i="154" s="1"/>
  <c r="C67" i="154"/>
  <c r="I53" i="154"/>
  <c r="D76" i="154" s="1"/>
  <c r="G76" i="154" s="1"/>
  <c r="J76" i="154" s="1"/>
  <c r="C66" i="154"/>
  <c r="C65" i="51"/>
  <c r="C66" i="51"/>
  <c r="C65" i="154"/>
  <c r="I9" i="51"/>
  <c r="J9" i="51"/>
  <c r="K9" i="51"/>
  <c r="C38" i="154"/>
  <c r="C81" i="154"/>
  <c r="E35" i="154"/>
  <c r="H35" i="154" s="1"/>
  <c r="K35" i="154" s="1"/>
  <c r="E37" i="154"/>
  <c r="H37" i="154" s="1"/>
  <c r="K37" i="154" s="1"/>
  <c r="E32" i="154"/>
  <c r="H32" i="154" s="1"/>
  <c r="K32" i="154" s="1"/>
  <c r="E31" i="154"/>
  <c r="H31" i="154" s="1"/>
  <c r="K31" i="154" s="1"/>
  <c r="E36" i="154"/>
  <c r="H36" i="154" s="1"/>
  <c r="K36" i="154" s="1"/>
  <c r="E34" i="154"/>
  <c r="H34" i="154" s="1"/>
  <c r="K34" i="154" s="1"/>
  <c r="E33" i="154"/>
  <c r="H33" i="154" s="1"/>
  <c r="K33" i="154" s="1"/>
  <c r="D37" i="154"/>
  <c r="G37" i="154" s="1"/>
  <c r="J37" i="154" s="1"/>
  <c r="D33" i="154"/>
  <c r="G33" i="154" s="1"/>
  <c r="J33" i="154" s="1"/>
  <c r="D31" i="154"/>
  <c r="G31" i="154" s="1"/>
  <c r="J31" i="154" s="1"/>
  <c r="D36" i="154"/>
  <c r="G36" i="154" s="1"/>
  <c r="J36" i="154" s="1"/>
  <c r="D34" i="154"/>
  <c r="G34" i="154" s="1"/>
  <c r="J34" i="154" s="1"/>
  <c r="D32" i="154"/>
  <c r="G32" i="154" s="1"/>
  <c r="J32" i="154" s="1"/>
  <c r="D35" i="154"/>
  <c r="G35" i="154" s="1"/>
  <c r="J35" i="154" s="1"/>
  <c r="F31" i="154"/>
  <c r="I31" i="154" s="1"/>
  <c r="L31" i="154" s="1"/>
  <c r="F35" i="154"/>
  <c r="I35" i="154" s="1"/>
  <c r="L35" i="154" s="1"/>
  <c r="F36" i="154"/>
  <c r="I36" i="154" s="1"/>
  <c r="L36" i="154" s="1"/>
  <c r="F33" i="154"/>
  <c r="I33" i="154" s="1"/>
  <c r="L33" i="154" s="1"/>
  <c r="F34" i="154"/>
  <c r="I34" i="154" s="1"/>
  <c r="L34" i="154" s="1"/>
  <c r="F37" i="154"/>
  <c r="I37" i="154" s="1"/>
  <c r="L37" i="154" s="1"/>
  <c r="F32" i="154"/>
  <c r="I32" i="154" s="1"/>
  <c r="L32" i="154" s="1"/>
  <c r="C81" i="51"/>
  <c r="C43" i="51"/>
  <c r="C44" i="51"/>
  <c r="C38" i="51"/>
  <c r="E45" i="154" l="1"/>
  <c r="H43" i="154"/>
  <c r="K43" i="154" s="1"/>
  <c r="G34" i="51"/>
  <c r="G35" i="51"/>
  <c r="G36" i="51"/>
  <c r="G33" i="51"/>
  <c r="H80" i="51"/>
  <c r="H19" i="51"/>
  <c r="K19" i="51" s="1"/>
  <c r="H37" i="51"/>
  <c r="H35" i="51"/>
  <c r="I34" i="51"/>
  <c r="I37" i="51"/>
  <c r="I76" i="51"/>
  <c r="G37" i="51"/>
  <c r="G32" i="51"/>
  <c r="H34" i="51"/>
  <c r="H79" i="51"/>
  <c r="H74" i="51"/>
  <c r="H77" i="51"/>
  <c r="H76" i="51"/>
  <c r="H75" i="51"/>
  <c r="I31" i="51"/>
  <c r="G23" i="51"/>
  <c r="J23" i="51" s="1"/>
  <c r="I32" i="51"/>
  <c r="I74" i="51"/>
  <c r="I75" i="51"/>
  <c r="I62" i="51"/>
  <c r="L62" i="51" s="1"/>
  <c r="H32" i="51"/>
  <c r="H33" i="51"/>
  <c r="H31" i="51"/>
  <c r="H38" i="51" s="1"/>
  <c r="E104" i="51" s="1"/>
  <c r="E82" i="159" s="1"/>
  <c r="H78" i="51"/>
  <c r="I78" i="51"/>
  <c r="I80" i="51"/>
  <c r="I35" i="51"/>
  <c r="I79" i="51"/>
  <c r="G25" i="51"/>
  <c r="J25" i="51" s="1"/>
  <c r="I36" i="51"/>
  <c r="G22" i="51"/>
  <c r="J22" i="51" s="1"/>
  <c r="G31" i="51"/>
  <c r="G38" i="51" s="1"/>
  <c r="D104" i="51" s="1"/>
  <c r="H36" i="51"/>
  <c r="I19" i="51"/>
  <c r="L19" i="51" s="1"/>
  <c r="H62" i="51"/>
  <c r="K62" i="51" s="1"/>
  <c r="G24" i="51"/>
  <c r="J24" i="51" s="1"/>
  <c r="I33" i="51"/>
  <c r="I77" i="51"/>
  <c r="M66" i="129"/>
  <c r="P65" i="129"/>
  <c r="N65" i="129" s="1"/>
  <c r="K65" i="129"/>
  <c r="Q65" i="129" s="1"/>
  <c r="O32" i="154"/>
  <c r="O33" i="154"/>
  <c r="M36" i="154"/>
  <c r="O36" i="154"/>
  <c r="M35" i="154"/>
  <c r="M32" i="154"/>
  <c r="M34" i="154"/>
  <c r="O34" i="154"/>
  <c r="O37" i="154"/>
  <c r="N33" i="154"/>
  <c r="N34" i="154"/>
  <c r="N32" i="154"/>
  <c r="N35" i="154"/>
  <c r="O35" i="154"/>
  <c r="M33" i="154"/>
  <c r="M37" i="154"/>
  <c r="N36" i="154"/>
  <c r="N37" i="154"/>
  <c r="N76" i="154"/>
  <c r="O76" i="154"/>
  <c r="M76" i="154"/>
  <c r="O67" i="154"/>
  <c r="N66" i="154"/>
  <c r="M64" i="154"/>
  <c r="O44" i="154"/>
  <c r="N24" i="154"/>
  <c r="O22" i="154"/>
  <c r="M23" i="154"/>
  <c r="E67" i="51"/>
  <c r="H67" i="51" s="1"/>
  <c r="K67" i="51" s="1"/>
  <c r="E63" i="51"/>
  <c r="H63" i="51" s="1"/>
  <c r="K63" i="51" s="1"/>
  <c r="E66" i="51"/>
  <c r="H66" i="51" s="1"/>
  <c r="K66" i="51" s="1"/>
  <c r="E64" i="51"/>
  <c r="E65" i="51"/>
  <c r="H65" i="51" s="1"/>
  <c r="K65" i="51" s="1"/>
  <c r="E68" i="51"/>
  <c r="F68" i="51"/>
  <c r="F67" i="51"/>
  <c r="I67" i="51" s="1"/>
  <c r="L67" i="51" s="1"/>
  <c r="F63" i="51"/>
  <c r="F65" i="51"/>
  <c r="I65" i="51" s="1"/>
  <c r="L65" i="51" s="1"/>
  <c r="F66" i="51"/>
  <c r="I66" i="51" s="1"/>
  <c r="L66" i="51" s="1"/>
  <c r="F64" i="51"/>
  <c r="D65" i="51"/>
  <c r="G65" i="51" s="1"/>
  <c r="J65" i="51" s="1"/>
  <c r="D64" i="51"/>
  <c r="D63" i="51"/>
  <c r="D67" i="51"/>
  <c r="G67" i="51" s="1"/>
  <c r="J67" i="51" s="1"/>
  <c r="D66" i="51"/>
  <c r="G66" i="51" s="1"/>
  <c r="J66" i="51" s="1"/>
  <c r="D68" i="51"/>
  <c r="D62" i="51"/>
  <c r="G22" i="129"/>
  <c r="G45" i="129"/>
  <c r="G69" i="129"/>
  <c r="H46" i="129"/>
  <c r="H70" i="129"/>
  <c r="K45" i="129"/>
  <c r="L21" i="129"/>
  <c r="L45" i="129" s="1"/>
  <c r="J103" i="155"/>
  <c r="N94" i="155"/>
  <c r="M44" i="154"/>
  <c r="C69" i="155"/>
  <c r="F22" i="51"/>
  <c r="F25" i="51"/>
  <c r="F23" i="51"/>
  <c r="F24" i="51"/>
  <c r="I24" i="51" s="1"/>
  <c r="L24" i="51" s="1"/>
  <c r="F20" i="51"/>
  <c r="F21" i="51"/>
  <c r="D44" i="51"/>
  <c r="D43" i="51"/>
  <c r="F44" i="51"/>
  <c r="F43" i="51"/>
  <c r="E44" i="51"/>
  <c r="E43" i="51"/>
  <c r="F45" i="154"/>
  <c r="D26" i="51"/>
  <c r="D45" i="154"/>
  <c r="E20" i="51"/>
  <c r="H20" i="51" s="1"/>
  <c r="K20" i="51" s="1"/>
  <c r="E24" i="51"/>
  <c r="E23" i="51"/>
  <c r="E21" i="51"/>
  <c r="E25" i="51"/>
  <c r="H25" i="51" s="1"/>
  <c r="K25" i="51" s="1"/>
  <c r="E22" i="51"/>
  <c r="C45" i="155"/>
  <c r="C26" i="155"/>
  <c r="E21" i="154"/>
  <c r="H21" i="154" s="1"/>
  <c r="K21" i="154" s="1"/>
  <c r="E20" i="154"/>
  <c r="H20" i="154" s="1"/>
  <c r="K20" i="154" s="1"/>
  <c r="E19" i="154"/>
  <c r="H19" i="154" s="1"/>
  <c r="K19" i="154" s="1"/>
  <c r="C26" i="51"/>
  <c r="E22" i="154"/>
  <c r="H22" i="154" s="1"/>
  <c r="K22" i="154" s="1"/>
  <c r="F64" i="154"/>
  <c r="I64" i="154" s="1"/>
  <c r="L64" i="154" s="1"/>
  <c r="F68" i="154"/>
  <c r="I68" i="154" s="1"/>
  <c r="L68" i="154" s="1"/>
  <c r="F62" i="154"/>
  <c r="I62" i="154" s="1"/>
  <c r="L62" i="154" s="1"/>
  <c r="F65" i="154"/>
  <c r="I65" i="154" s="1"/>
  <c r="L65" i="154" s="1"/>
  <c r="D22" i="154"/>
  <c r="G22" i="154" s="1"/>
  <c r="J22" i="154" s="1"/>
  <c r="F66" i="154"/>
  <c r="I66" i="154" s="1"/>
  <c r="L66" i="154" s="1"/>
  <c r="D24" i="154"/>
  <c r="G24" i="154" s="1"/>
  <c r="J24" i="154" s="1"/>
  <c r="D25" i="154"/>
  <c r="G25" i="154" s="1"/>
  <c r="J25" i="154" s="1"/>
  <c r="D19" i="154"/>
  <c r="G19" i="154" s="1"/>
  <c r="J19" i="154" s="1"/>
  <c r="E25" i="154"/>
  <c r="H25" i="154" s="1"/>
  <c r="K25" i="154" s="1"/>
  <c r="E23" i="154"/>
  <c r="H23" i="154" s="1"/>
  <c r="K23" i="154" s="1"/>
  <c r="E79" i="154"/>
  <c r="H79" i="154" s="1"/>
  <c r="K79" i="154" s="1"/>
  <c r="C26" i="154"/>
  <c r="E74" i="154"/>
  <c r="H74" i="154" s="1"/>
  <c r="K74" i="154" s="1"/>
  <c r="F24" i="154"/>
  <c r="I24" i="154" s="1"/>
  <c r="L24" i="154" s="1"/>
  <c r="F25" i="154"/>
  <c r="I25" i="154" s="1"/>
  <c r="L25" i="154" s="1"/>
  <c r="D21" i="154"/>
  <c r="G21" i="154" s="1"/>
  <c r="J21" i="154" s="1"/>
  <c r="F63" i="154"/>
  <c r="I63" i="154" s="1"/>
  <c r="L63" i="154" s="1"/>
  <c r="D20" i="154"/>
  <c r="G20" i="154" s="1"/>
  <c r="J20" i="154" s="1"/>
  <c r="E67" i="154"/>
  <c r="H67" i="154" s="1"/>
  <c r="K67" i="154" s="1"/>
  <c r="E68" i="154"/>
  <c r="H68" i="154" s="1"/>
  <c r="K68" i="154" s="1"/>
  <c r="F74" i="154"/>
  <c r="I74" i="154" s="1"/>
  <c r="L74" i="154" s="1"/>
  <c r="F79" i="154"/>
  <c r="I79" i="154" s="1"/>
  <c r="L79" i="154" s="1"/>
  <c r="F78" i="154"/>
  <c r="I78" i="154" s="1"/>
  <c r="L78" i="154" s="1"/>
  <c r="F23" i="154"/>
  <c r="I23" i="154" s="1"/>
  <c r="L23" i="154" s="1"/>
  <c r="F80" i="154"/>
  <c r="I80" i="154" s="1"/>
  <c r="L80" i="154" s="1"/>
  <c r="F19" i="154"/>
  <c r="I19" i="154" s="1"/>
  <c r="L19" i="154" s="1"/>
  <c r="E64" i="154"/>
  <c r="H64" i="154" s="1"/>
  <c r="K64" i="154" s="1"/>
  <c r="E62" i="154"/>
  <c r="H62" i="154" s="1"/>
  <c r="K62" i="154" s="1"/>
  <c r="E65" i="154"/>
  <c r="H65" i="154" s="1"/>
  <c r="K65" i="154" s="1"/>
  <c r="E63" i="154"/>
  <c r="H63" i="154" s="1"/>
  <c r="K63" i="154" s="1"/>
  <c r="F77" i="154"/>
  <c r="I77" i="154" s="1"/>
  <c r="L77" i="154" s="1"/>
  <c r="F20" i="154"/>
  <c r="I20" i="154" s="1"/>
  <c r="L20" i="154" s="1"/>
  <c r="F75" i="154"/>
  <c r="I75" i="154" s="1"/>
  <c r="L75" i="154" s="1"/>
  <c r="F21" i="154"/>
  <c r="I21" i="154" s="1"/>
  <c r="L21" i="154" s="1"/>
  <c r="D79" i="154"/>
  <c r="G79" i="154" s="1"/>
  <c r="J79" i="154" s="1"/>
  <c r="D67" i="154"/>
  <c r="G67" i="154" s="1"/>
  <c r="J67" i="154" s="1"/>
  <c r="D62" i="154"/>
  <c r="G62" i="154" s="1"/>
  <c r="J62" i="154" s="1"/>
  <c r="D63" i="154"/>
  <c r="G63" i="154" s="1"/>
  <c r="J63" i="154" s="1"/>
  <c r="D68" i="154"/>
  <c r="G68" i="154" s="1"/>
  <c r="J68" i="154" s="1"/>
  <c r="D65" i="154"/>
  <c r="G65" i="154" s="1"/>
  <c r="J65" i="154" s="1"/>
  <c r="D66" i="154"/>
  <c r="G66" i="154" s="1"/>
  <c r="J66" i="154" s="1"/>
  <c r="E75" i="154"/>
  <c r="H75" i="154" s="1"/>
  <c r="K75" i="154" s="1"/>
  <c r="D77" i="154"/>
  <c r="G77" i="154" s="1"/>
  <c r="J77" i="154" s="1"/>
  <c r="E78" i="154"/>
  <c r="H78" i="154" s="1"/>
  <c r="K78" i="154" s="1"/>
  <c r="D74" i="154"/>
  <c r="G74" i="154" s="1"/>
  <c r="J74" i="154" s="1"/>
  <c r="E80" i="154"/>
  <c r="H80" i="154" s="1"/>
  <c r="K80" i="154" s="1"/>
  <c r="D75" i="154"/>
  <c r="G75" i="154" s="1"/>
  <c r="J75" i="154" s="1"/>
  <c r="E77" i="154"/>
  <c r="H77" i="154" s="1"/>
  <c r="K77" i="154" s="1"/>
  <c r="D78" i="154"/>
  <c r="G78" i="154" s="1"/>
  <c r="J78" i="154" s="1"/>
  <c r="D80" i="154"/>
  <c r="G80" i="154" s="1"/>
  <c r="J80" i="154" s="1"/>
  <c r="C69" i="51"/>
  <c r="C69" i="154"/>
  <c r="D38" i="154"/>
  <c r="F38" i="154"/>
  <c r="E38" i="154"/>
  <c r="I45" i="154"/>
  <c r="E105" i="154" s="1"/>
  <c r="F23" i="159" s="1"/>
  <c r="G45" i="154"/>
  <c r="C105" i="154" s="1"/>
  <c r="D23" i="159" s="1"/>
  <c r="I38" i="51"/>
  <c r="F104" i="51" s="1"/>
  <c r="C45" i="51"/>
  <c r="B10" i="152"/>
  <c r="B9" i="152"/>
  <c r="B8" i="152"/>
  <c r="B7" i="152"/>
  <c r="B6" i="152"/>
  <c r="B5" i="152"/>
  <c r="B4" i="152"/>
  <c r="B3" i="152"/>
  <c r="B4" i="144"/>
  <c r="B5" i="144"/>
  <c r="B6" i="144"/>
  <c r="B7" i="144"/>
  <c r="B8" i="144"/>
  <c r="B9" i="144"/>
  <c r="B10" i="144"/>
  <c r="B3" i="144"/>
  <c r="C5" i="141"/>
  <c r="C7" i="141"/>
  <c r="L38" i="51" l="1"/>
  <c r="I21" i="51"/>
  <c r="L21" i="51" s="1"/>
  <c r="G63" i="51"/>
  <c r="J63" i="51" s="1"/>
  <c r="K38" i="51"/>
  <c r="I23" i="51"/>
  <c r="L23" i="51" s="1"/>
  <c r="I25" i="51"/>
  <c r="L25" i="51" s="1"/>
  <c r="H24" i="51"/>
  <c r="K24" i="51" s="1"/>
  <c r="H68" i="51"/>
  <c r="K68" i="51" s="1"/>
  <c r="G44" i="51"/>
  <c r="G64" i="51"/>
  <c r="J64" i="51" s="1"/>
  <c r="I63" i="51"/>
  <c r="L63" i="51" s="1"/>
  <c r="H64" i="51"/>
  <c r="K64" i="51" s="1"/>
  <c r="H43" i="51"/>
  <c r="K43" i="51" s="1"/>
  <c r="I44" i="51"/>
  <c r="G62" i="51"/>
  <c r="J62" i="51" s="1"/>
  <c r="G68" i="51"/>
  <c r="J68" i="51" s="1"/>
  <c r="I20" i="51"/>
  <c r="L20" i="51" s="1"/>
  <c r="I22" i="51"/>
  <c r="L22" i="51" s="1"/>
  <c r="H23" i="51"/>
  <c r="K23" i="51" s="1"/>
  <c r="I68" i="51"/>
  <c r="L68" i="51" s="1"/>
  <c r="H44" i="51"/>
  <c r="G43" i="51"/>
  <c r="J43" i="51" s="1"/>
  <c r="H22" i="51"/>
  <c r="K22" i="51" s="1"/>
  <c r="J38" i="51"/>
  <c r="I64" i="51"/>
  <c r="L64" i="51" s="1"/>
  <c r="H21" i="51"/>
  <c r="K21" i="51" s="1"/>
  <c r="I43" i="51"/>
  <c r="L43" i="51" s="1"/>
  <c r="M67" i="129"/>
  <c r="P66" i="129"/>
  <c r="N66" i="129" s="1"/>
  <c r="K66" i="129"/>
  <c r="Q66" i="129" s="1"/>
  <c r="O79" i="154"/>
  <c r="N79" i="154"/>
  <c r="O78" i="154"/>
  <c r="O75" i="154"/>
  <c r="O77" i="154"/>
  <c r="N78" i="154"/>
  <c r="N77" i="154"/>
  <c r="N75" i="154"/>
  <c r="M79" i="154"/>
  <c r="M78" i="154"/>
  <c r="M75" i="154"/>
  <c r="M77" i="154"/>
  <c r="O64" i="154"/>
  <c r="N65" i="154"/>
  <c r="O66" i="154"/>
  <c r="O65" i="154"/>
  <c r="O63" i="154"/>
  <c r="N64" i="154"/>
  <c r="N67" i="154"/>
  <c r="N63" i="154"/>
  <c r="M66" i="154"/>
  <c r="M65" i="154"/>
  <c r="M67" i="154"/>
  <c r="M63" i="154"/>
  <c r="H45" i="154"/>
  <c r="D105" i="154" s="1"/>
  <c r="E23" i="159" s="1"/>
  <c r="K45" i="154"/>
  <c r="J105" i="154" s="1"/>
  <c r="K23" i="159" s="1"/>
  <c r="O20" i="154"/>
  <c r="O23" i="154"/>
  <c r="N20" i="154"/>
  <c r="N21" i="154"/>
  <c r="N23" i="154"/>
  <c r="N22" i="154"/>
  <c r="O21" i="154"/>
  <c r="O24" i="154"/>
  <c r="M21" i="154"/>
  <c r="M22" i="154"/>
  <c r="M20" i="154"/>
  <c r="M24" i="154"/>
  <c r="J109" i="155"/>
  <c r="K51" i="159"/>
  <c r="K56" i="159" s="1"/>
  <c r="G23" i="129"/>
  <c r="G70" i="129"/>
  <c r="G46" i="129"/>
  <c r="H47" i="129"/>
  <c r="H71" i="129"/>
  <c r="L22" i="129"/>
  <c r="L46" i="129" s="1"/>
  <c r="K46" i="129"/>
  <c r="N68" i="154"/>
  <c r="M68" i="154"/>
  <c r="N25" i="154"/>
  <c r="M25" i="154"/>
  <c r="N80" i="154"/>
  <c r="M80" i="154"/>
  <c r="E26" i="51"/>
  <c r="F26" i="51"/>
  <c r="E26" i="154"/>
  <c r="F69" i="154"/>
  <c r="F26" i="154"/>
  <c r="D26" i="154"/>
  <c r="F81" i="154"/>
  <c r="E69" i="154"/>
  <c r="E69" i="51"/>
  <c r="F81" i="51"/>
  <c r="D69" i="51"/>
  <c r="H81" i="51"/>
  <c r="E107" i="51" s="1"/>
  <c r="E85" i="159" s="1"/>
  <c r="G81" i="51"/>
  <c r="D107" i="51" s="1"/>
  <c r="D81" i="154"/>
  <c r="D81" i="51"/>
  <c r="D69" i="154"/>
  <c r="F69" i="51"/>
  <c r="E81" i="51"/>
  <c r="E81" i="154"/>
  <c r="J81" i="51"/>
  <c r="K81" i="51"/>
  <c r="K107" i="51" s="1"/>
  <c r="K85" i="159" s="1"/>
  <c r="L45" i="154"/>
  <c r="K105" i="154" s="1"/>
  <c r="L23" i="159" s="1"/>
  <c r="O43" i="154"/>
  <c r="O45" i="154" s="1"/>
  <c r="Q105" i="154" s="1"/>
  <c r="G69" i="154"/>
  <c r="C106" i="154" s="1"/>
  <c r="D24" i="159" s="1"/>
  <c r="G81" i="154"/>
  <c r="C107" i="154" s="1"/>
  <c r="D25" i="159" s="1"/>
  <c r="I38" i="154"/>
  <c r="E104" i="154" s="1"/>
  <c r="F22" i="159" s="1"/>
  <c r="G38" i="154"/>
  <c r="C104" i="154" s="1"/>
  <c r="D22" i="159" s="1"/>
  <c r="H26" i="154"/>
  <c r="D103" i="154" s="1"/>
  <c r="E21" i="159" s="1"/>
  <c r="H81" i="154"/>
  <c r="D107" i="154" s="1"/>
  <c r="E25" i="159" s="1"/>
  <c r="H38" i="154"/>
  <c r="D104" i="154" s="1"/>
  <c r="E22" i="159" s="1"/>
  <c r="H69" i="154"/>
  <c r="D106" i="154" s="1"/>
  <c r="E24" i="159" s="1"/>
  <c r="M43" i="154"/>
  <c r="M45" i="154" s="1"/>
  <c r="O105" i="154" s="1"/>
  <c r="J45" i="154"/>
  <c r="I105" i="154" s="1"/>
  <c r="J23" i="159" s="1"/>
  <c r="I45" i="51"/>
  <c r="F105" i="51" s="1"/>
  <c r="D45" i="51"/>
  <c r="G45" i="51"/>
  <c r="E45" i="51"/>
  <c r="F45" i="51"/>
  <c r="L47" i="146"/>
  <c r="S48" i="146"/>
  <c r="G49" i="146"/>
  <c r="T44" i="146"/>
  <c r="B5" i="141"/>
  <c r="B7" i="141"/>
  <c r="Q44" i="146"/>
  <c r="F47" i="146"/>
  <c r="G47" i="146"/>
  <c r="H47" i="146"/>
  <c r="I47" i="146"/>
  <c r="J47" i="146"/>
  <c r="K47" i="146"/>
  <c r="M47" i="146"/>
  <c r="N47" i="146"/>
  <c r="P47" i="146"/>
  <c r="Q47" i="146"/>
  <c r="R47" i="146"/>
  <c r="T47" i="146"/>
  <c r="U47" i="146"/>
  <c r="V47" i="146"/>
  <c r="F48" i="146"/>
  <c r="H49" i="146"/>
  <c r="O49" i="146"/>
  <c r="P49" i="146"/>
  <c r="T49" i="146"/>
  <c r="U49" i="146"/>
  <c r="E47" i="146"/>
  <c r="C47" i="146"/>
  <c r="C24" i="133"/>
  <c r="Z12" i="132"/>
  <c r="Z13" i="132"/>
  <c r="Z14" i="132"/>
  <c r="Z15" i="132"/>
  <c r="Z16" i="132"/>
  <c r="Z17" i="132"/>
  <c r="Z18" i="132"/>
  <c r="Z11" i="132"/>
  <c r="D6" i="146"/>
  <c r="D31" i="147" s="1"/>
  <c r="E6" i="146"/>
  <c r="E31" i="147" s="1"/>
  <c r="F6" i="146"/>
  <c r="F31" i="147" s="1"/>
  <c r="G6" i="146"/>
  <c r="H6" i="146"/>
  <c r="I6" i="146"/>
  <c r="J6" i="146"/>
  <c r="K6" i="146"/>
  <c r="L6" i="146"/>
  <c r="M6" i="146"/>
  <c r="N6" i="146"/>
  <c r="O6" i="146"/>
  <c r="P6" i="146"/>
  <c r="P6" i="147" s="1"/>
  <c r="Q6" i="146"/>
  <c r="Q6" i="147" s="1"/>
  <c r="R6" i="146"/>
  <c r="S6" i="146"/>
  <c r="T6" i="146"/>
  <c r="U6" i="146"/>
  <c r="U31" i="147" s="1"/>
  <c r="V6" i="146"/>
  <c r="H16" i="146"/>
  <c r="I16" i="146"/>
  <c r="J16" i="146"/>
  <c r="K16" i="146"/>
  <c r="L16" i="146"/>
  <c r="M16" i="146"/>
  <c r="N16" i="146"/>
  <c r="R16" i="146"/>
  <c r="D32" i="146"/>
  <c r="D32" i="147" s="1"/>
  <c r="E32" i="146"/>
  <c r="F32" i="146"/>
  <c r="G32" i="146"/>
  <c r="H32" i="146"/>
  <c r="I32" i="146"/>
  <c r="J32" i="146"/>
  <c r="K32" i="146"/>
  <c r="L32" i="146"/>
  <c r="M32" i="146"/>
  <c r="M32" i="147" s="1"/>
  <c r="N32" i="146"/>
  <c r="O32" i="146"/>
  <c r="P32" i="146"/>
  <c r="Q32" i="146"/>
  <c r="R32" i="146"/>
  <c r="S32" i="146"/>
  <c r="T32" i="146"/>
  <c r="U32" i="146"/>
  <c r="V32" i="146"/>
  <c r="D33" i="146"/>
  <c r="E33" i="146"/>
  <c r="E33" i="147" s="1"/>
  <c r="F33" i="146"/>
  <c r="G33" i="146"/>
  <c r="H33" i="146"/>
  <c r="I33" i="146"/>
  <c r="J33" i="146"/>
  <c r="K33" i="146"/>
  <c r="L33" i="146"/>
  <c r="M33" i="146"/>
  <c r="N33" i="146"/>
  <c r="O33" i="146"/>
  <c r="O33" i="147" s="1"/>
  <c r="P33" i="146"/>
  <c r="P33" i="147" s="1"/>
  <c r="Q33" i="146"/>
  <c r="R33" i="146"/>
  <c r="S33" i="146"/>
  <c r="T33" i="146"/>
  <c r="T33" i="147" s="1"/>
  <c r="U33" i="146"/>
  <c r="U33" i="147" s="1"/>
  <c r="V33" i="146"/>
  <c r="V33" i="147" s="1"/>
  <c r="E36" i="146"/>
  <c r="D37" i="146"/>
  <c r="E37" i="146"/>
  <c r="F37" i="146"/>
  <c r="G37" i="146"/>
  <c r="H37" i="146"/>
  <c r="H37" i="147" s="1"/>
  <c r="I37" i="146"/>
  <c r="J37" i="146"/>
  <c r="K37" i="146"/>
  <c r="L37" i="146"/>
  <c r="M37" i="146"/>
  <c r="N37" i="146"/>
  <c r="O37" i="146"/>
  <c r="O37" i="147" s="1"/>
  <c r="P37" i="146"/>
  <c r="Q37" i="146"/>
  <c r="R37" i="146"/>
  <c r="S37" i="146"/>
  <c r="T37" i="146"/>
  <c r="T37" i="147" s="1"/>
  <c r="U37" i="146"/>
  <c r="V37" i="146"/>
  <c r="C6" i="146"/>
  <c r="C32" i="146"/>
  <c r="C33" i="146"/>
  <c r="C37" i="146"/>
  <c r="O2" i="123"/>
  <c r="O3" i="123"/>
  <c r="O4" i="123"/>
  <c r="O5" i="123"/>
  <c r="O6" i="123"/>
  <c r="O7" i="123"/>
  <c r="O8" i="123"/>
  <c r="C2" i="141" s="1"/>
  <c r="K14" i="146" s="1"/>
  <c r="O9" i="123"/>
  <c r="O10" i="123"/>
  <c r="O11" i="123"/>
  <c r="O12" i="123"/>
  <c r="O13" i="123"/>
  <c r="O14" i="123"/>
  <c r="O15" i="123"/>
  <c r="O16" i="123"/>
  <c r="C6" i="141" s="1"/>
  <c r="R48" i="146" s="1"/>
  <c r="O17" i="123"/>
  <c r="O18" i="123"/>
  <c r="O19" i="123"/>
  <c r="O20" i="123"/>
  <c r="O21" i="123"/>
  <c r="O22" i="123"/>
  <c r="O23" i="123"/>
  <c r="O24" i="123"/>
  <c r="O25" i="123"/>
  <c r="O26" i="123"/>
  <c r="O27" i="123"/>
  <c r="O28" i="123"/>
  <c r="O29" i="123"/>
  <c r="O30" i="123"/>
  <c r="O31" i="123"/>
  <c r="O32" i="123"/>
  <c r="O33" i="123"/>
  <c r="O34" i="123"/>
  <c r="O35" i="123"/>
  <c r="O36" i="123"/>
  <c r="O37" i="123"/>
  <c r="O38" i="123"/>
  <c r="O39" i="123"/>
  <c r="O40" i="123"/>
  <c r="O41" i="123"/>
  <c r="O42" i="123"/>
  <c r="O43" i="123"/>
  <c r="N45" i="123"/>
  <c r="M45" i="123"/>
  <c r="L45" i="123"/>
  <c r="K45" i="123"/>
  <c r="J45" i="123"/>
  <c r="I45" i="123"/>
  <c r="H45" i="123"/>
  <c r="G45" i="123"/>
  <c r="F45" i="123"/>
  <c r="E45" i="123"/>
  <c r="D45" i="123"/>
  <c r="C45" i="123"/>
  <c r="H45" i="51" l="1"/>
  <c r="E105" i="51" s="1"/>
  <c r="E83" i="159" s="1"/>
  <c r="M68" i="129"/>
  <c r="P67" i="129"/>
  <c r="N67" i="129" s="1"/>
  <c r="K67" i="129"/>
  <c r="Q67" i="129" s="1"/>
  <c r="O80" i="154"/>
  <c r="O68" i="154"/>
  <c r="O25" i="154"/>
  <c r="M92" i="51"/>
  <c r="J107" i="51"/>
  <c r="L69" i="51"/>
  <c r="K69" i="51"/>
  <c r="E26" i="159"/>
  <c r="H69" i="51"/>
  <c r="E106" i="51" s="1"/>
  <c r="E84" i="159" s="1"/>
  <c r="G71" i="129"/>
  <c r="G47" i="129"/>
  <c r="K47" i="129"/>
  <c r="L23" i="129"/>
  <c r="L47" i="129" s="1"/>
  <c r="I69" i="51"/>
  <c r="F106" i="51" s="1"/>
  <c r="G26" i="154"/>
  <c r="C103" i="154" s="1"/>
  <c r="N92" i="51"/>
  <c r="M89" i="51"/>
  <c r="J104" i="51"/>
  <c r="O89" i="51"/>
  <c r="L104" i="51"/>
  <c r="N89" i="51"/>
  <c r="K104" i="51"/>
  <c r="K82" i="159" s="1"/>
  <c r="D109" i="154"/>
  <c r="I69" i="154"/>
  <c r="E106" i="154" s="1"/>
  <c r="F24" i="159" s="1"/>
  <c r="I81" i="154"/>
  <c r="E107" i="154" s="1"/>
  <c r="F25" i="159" s="1"/>
  <c r="I26" i="154"/>
  <c r="E103" i="154" s="1"/>
  <c r="F21" i="159" s="1"/>
  <c r="G69" i="51"/>
  <c r="D106" i="51" s="1"/>
  <c r="N43" i="154"/>
  <c r="N45" i="154" s="1"/>
  <c r="P105" i="154" s="1"/>
  <c r="J69" i="51"/>
  <c r="J106" i="51" s="1"/>
  <c r="O19" i="154"/>
  <c r="I81" i="51"/>
  <c r="F107" i="51" s="1"/>
  <c r="K45" i="51"/>
  <c r="K105" i="51" s="1"/>
  <c r="K83" i="159" s="1"/>
  <c r="O90" i="51"/>
  <c r="L45" i="51"/>
  <c r="L105" i="51" s="1"/>
  <c r="J38" i="154"/>
  <c r="I104" i="154" s="1"/>
  <c r="J22" i="159" s="1"/>
  <c r="M31" i="154"/>
  <c r="M38" i="154" s="1"/>
  <c r="O104" i="154" s="1"/>
  <c r="J26" i="154"/>
  <c r="I103" i="154" s="1"/>
  <c r="J21" i="159" s="1"/>
  <c r="M19" i="154"/>
  <c r="M26" i="154" s="1"/>
  <c r="O103" i="154" s="1"/>
  <c r="K69" i="154"/>
  <c r="J106" i="154" s="1"/>
  <c r="K24" i="159" s="1"/>
  <c r="N62" i="154"/>
  <c r="N69" i="154" s="1"/>
  <c r="P106" i="154" s="1"/>
  <c r="J69" i="154"/>
  <c r="I106" i="154" s="1"/>
  <c r="J24" i="159" s="1"/>
  <c r="M62" i="154"/>
  <c r="M69" i="154" s="1"/>
  <c r="O106" i="154" s="1"/>
  <c r="O62" i="154"/>
  <c r="N31" i="154"/>
  <c r="N38" i="154" s="1"/>
  <c r="P104" i="154" s="1"/>
  <c r="K38" i="154"/>
  <c r="J104" i="154" s="1"/>
  <c r="K22" i="159" s="1"/>
  <c r="O31" i="154"/>
  <c r="O38" i="154" s="1"/>
  <c r="Q104" i="154" s="1"/>
  <c r="L38" i="154"/>
  <c r="K104" i="154" s="1"/>
  <c r="L22" i="159" s="1"/>
  <c r="J81" i="154"/>
  <c r="I107" i="154" s="1"/>
  <c r="J25" i="159" s="1"/>
  <c r="M74" i="154"/>
  <c r="M81" i="154" s="1"/>
  <c r="O107" i="154" s="1"/>
  <c r="K81" i="154"/>
  <c r="J107" i="154" s="1"/>
  <c r="K25" i="159" s="1"/>
  <c r="N74" i="154"/>
  <c r="N81" i="154" s="1"/>
  <c r="P107" i="154" s="1"/>
  <c r="L81" i="154"/>
  <c r="K107" i="154" s="1"/>
  <c r="L25" i="159" s="1"/>
  <c r="O74" i="154"/>
  <c r="K26" i="154"/>
  <c r="J103" i="154" s="1"/>
  <c r="K21" i="159" s="1"/>
  <c r="N19" i="154"/>
  <c r="N26" i="154" s="1"/>
  <c r="P103" i="154" s="1"/>
  <c r="L81" i="51"/>
  <c r="L107" i="51" s="1"/>
  <c r="D105" i="51"/>
  <c r="C8" i="141"/>
  <c r="J50" i="146" s="1"/>
  <c r="C4" i="141"/>
  <c r="C3" i="141"/>
  <c r="E30" i="146"/>
  <c r="D31" i="146"/>
  <c r="M31" i="146"/>
  <c r="C9" i="141"/>
  <c r="H35" i="146" s="1"/>
  <c r="H35" i="147" s="1"/>
  <c r="T48" i="146"/>
  <c r="N7" i="146"/>
  <c r="N7" i="147" s="1"/>
  <c r="E50" i="146"/>
  <c r="G16" i="146"/>
  <c r="G16" i="147" s="1"/>
  <c r="K7" i="146"/>
  <c r="K7" i="147" s="1"/>
  <c r="D48" i="146"/>
  <c r="P48" i="146"/>
  <c r="F16" i="146"/>
  <c r="F16" i="147" s="1"/>
  <c r="H7" i="146"/>
  <c r="H7" i="147" s="1"/>
  <c r="O48" i="146"/>
  <c r="O24" i="146"/>
  <c r="O97" i="147" s="1"/>
  <c r="L23" i="146"/>
  <c r="L96" i="147" s="1"/>
  <c r="I22" i="146"/>
  <c r="I22" i="147" s="1"/>
  <c r="L19" i="146"/>
  <c r="L19" i="147" s="1"/>
  <c r="K18" i="146"/>
  <c r="K18" i="147" s="1"/>
  <c r="J17" i="146"/>
  <c r="J17" i="147" s="1"/>
  <c r="U14" i="146"/>
  <c r="U14" i="147" s="1"/>
  <c r="D13" i="146"/>
  <c r="V11" i="146"/>
  <c r="U10" i="146"/>
  <c r="T9" i="146"/>
  <c r="T9" i="147" s="1"/>
  <c r="G7" i="146"/>
  <c r="G7" i="147" s="1"/>
  <c r="V5" i="146"/>
  <c r="V5" i="147" s="1"/>
  <c r="T3" i="146"/>
  <c r="T3" i="147" s="1"/>
  <c r="R2" i="146"/>
  <c r="R2" i="147" s="1"/>
  <c r="D47" i="146"/>
  <c r="J48" i="146"/>
  <c r="V46" i="146"/>
  <c r="O45" i="146"/>
  <c r="I48" i="146"/>
  <c r="H48" i="146"/>
  <c r="G48" i="146"/>
  <c r="L21" i="146"/>
  <c r="L21" i="147" s="1"/>
  <c r="K21" i="146"/>
  <c r="K21" i="147" s="1"/>
  <c r="V16" i="146"/>
  <c r="D36" i="146"/>
  <c r="J21" i="146"/>
  <c r="T16" i="146"/>
  <c r="T16" i="147" s="1"/>
  <c r="S47" i="146"/>
  <c r="S16" i="146"/>
  <c r="D50" i="146"/>
  <c r="N15" i="146"/>
  <c r="E49" i="146"/>
  <c r="S49" i="146"/>
  <c r="S31" i="146"/>
  <c r="M15" i="146"/>
  <c r="T7" i="146"/>
  <c r="T7" i="147" s="1"/>
  <c r="D49" i="146"/>
  <c r="R49" i="146"/>
  <c r="G35" i="146"/>
  <c r="G35" i="147" s="1"/>
  <c r="R31" i="146"/>
  <c r="I15" i="146"/>
  <c r="P7" i="146"/>
  <c r="H5" i="146"/>
  <c r="H5" i="147" s="1"/>
  <c r="J3" i="146"/>
  <c r="E48" i="146"/>
  <c r="Q49" i="146"/>
  <c r="O47" i="146"/>
  <c r="H46" i="146"/>
  <c r="S44" i="146"/>
  <c r="R30" i="146"/>
  <c r="R30" i="147" s="1"/>
  <c r="J14" i="146"/>
  <c r="J14" i="147" s="1"/>
  <c r="G44" i="146"/>
  <c r="P44" i="146"/>
  <c r="F7" i="146"/>
  <c r="F7" i="147" s="1"/>
  <c r="K30" i="146"/>
  <c r="K30" i="147" s="1"/>
  <c r="M20" i="146"/>
  <c r="E7" i="146"/>
  <c r="E4" i="146"/>
  <c r="R32" i="147"/>
  <c r="V4" i="146"/>
  <c r="I30" i="146"/>
  <c r="I30" i="147" s="1"/>
  <c r="L20" i="146"/>
  <c r="D4" i="146"/>
  <c r="D4" i="147" s="1"/>
  <c r="Q30" i="146"/>
  <c r="Q30" i="147" s="1"/>
  <c r="L30" i="146"/>
  <c r="L30" i="147" s="1"/>
  <c r="V36" i="146"/>
  <c r="V36" i="147" s="1"/>
  <c r="G30" i="146"/>
  <c r="G30" i="147" s="1"/>
  <c r="D44" i="146"/>
  <c r="J36" i="146"/>
  <c r="J36" i="147" s="1"/>
  <c r="F30" i="146"/>
  <c r="F30" i="147" s="1"/>
  <c r="O51" i="146"/>
  <c r="E32" i="147"/>
  <c r="L15" i="146"/>
  <c r="K15" i="146"/>
  <c r="R31" i="147"/>
  <c r="C16" i="146"/>
  <c r="C16" i="147" s="1"/>
  <c r="U36" i="146"/>
  <c r="U36" i="147" s="1"/>
  <c r="H30" i="146"/>
  <c r="H30" i="147" s="1"/>
  <c r="U16" i="146"/>
  <c r="J15" i="146"/>
  <c r="J16" i="147"/>
  <c r="Q48" i="146"/>
  <c r="R44" i="146"/>
  <c r="D30" i="146"/>
  <c r="D30" i="147" s="1"/>
  <c r="Q16" i="146"/>
  <c r="Q16" i="147" s="1"/>
  <c r="T14" i="146"/>
  <c r="V8" i="146"/>
  <c r="V8" i="147" s="1"/>
  <c r="C44" i="146"/>
  <c r="M48" i="146"/>
  <c r="N44" i="146"/>
  <c r="H16" i="147"/>
  <c r="N48" i="146"/>
  <c r="O44" i="146"/>
  <c r="P16" i="146"/>
  <c r="O14" i="146"/>
  <c r="V7" i="146"/>
  <c r="C49" i="146"/>
  <c r="L48" i="146"/>
  <c r="M44" i="146"/>
  <c r="F32" i="147"/>
  <c r="H15" i="146"/>
  <c r="O16" i="146"/>
  <c r="L14" i="146"/>
  <c r="U7" i="146"/>
  <c r="U7" i="147" s="1"/>
  <c r="C48" i="146"/>
  <c r="K48" i="146"/>
  <c r="H44" i="146"/>
  <c r="G31" i="146"/>
  <c r="U25" i="146"/>
  <c r="U98" i="147" s="1"/>
  <c r="T24" i="146"/>
  <c r="S23" i="146"/>
  <c r="S169" i="147" s="1"/>
  <c r="R22" i="146"/>
  <c r="R168" i="147" s="1"/>
  <c r="E16" i="146"/>
  <c r="F8" i="146"/>
  <c r="F49" i="146"/>
  <c r="O46" i="146"/>
  <c r="C8" i="146"/>
  <c r="T36" i="146"/>
  <c r="L31" i="146"/>
  <c r="I14" i="146"/>
  <c r="U8" i="146"/>
  <c r="U8" i="147" s="1"/>
  <c r="S36" i="146"/>
  <c r="S36" i="147" s="1"/>
  <c r="J31" i="146"/>
  <c r="M26" i="146"/>
  <c r="H14" i="146"/>
  <c r="T8" i="146"/>
  <c r="C31" i="146"/>
  <c r="R36" i="146"/>
  <c r="I31" i="146"/>
  <c r="H21" i="146"/>
  <c r="H21" i="147" s="1"/>
  <c r="G14" i="146"/>
  <c r="O8" i="146"/>
  <c r="O8" i="147" s="1"/>
  <c r="C30" i="146"/>
  <c r="C4" i="146"/>
  <c r="C4" i="147" s="1"/>
  <c r="Q36" i="146"/>
  <c r="H31" i="146"/>
  <c r="V20" i="146"/>
  <c r="F14" i="146"/>
  <c r="P36" i="146"/>
  <c r="P36" i="147" s="1"/>
  <c r="O36" i="146"/>
  <c r="O36" i="147" s="1"/>
  <c r="F31" i="146"/>
  <c r="S20" i="146"/>
  <c r="D16" i="146"/>
  <c r="E8" i="146"/>
  <c r="V48" i="146"/>
  <c r="N8" i="146"/>
  <c r="N8" i="147" s="1"/>
  <c r="N46" i="146"/>
  <c r="S41" i="146"/>
  <c r="R40" i="146"/>
  <c r="R40" i="147" s="1"/>
  <c r="Q39" i="146"/>
  <c r="K36" i="146"/>
  <c r="K36" i="147" s="1"/>
  <c r="E31" i="146"/>
  <c r="S25" i="146"/>
  <c r="S98" i="147" s="1"/>
  <c r="R24" i="146"/>
  <c r="R170" i="147" s="1"/>
  <c r="Q23" i="146"/>
  <c r="Q169" i="147" s="1"/>
  <c r="P22" i="146"/>
  <c r="P168" i="147" s="1"/>
  <c r="R20" i="146"/>
  <c r="O15" i="146"/>
  <c r="D8" i="146"/>
  <c r="E44" i="146"/>
  <c r="U48" i="146"/>
  <c r="M20" i="147"/>
  <c r="N32" i="147"/>
  <c r="V30" i="146"/>
  <c r="V30" i="147" s="1"/>
  <c r="E14" i="146"/>
  <c r="S8" i="146"/>
  <c r="S8" i="147" s="1"/>
  <c r="L44" i="146"/>
  <c r="N36" i="146"/>
  <c r="V31" i="146"/>
  <c r="U30" i="146"/>
  <c r="D14" i="146"/>
  <c r="R8" i="146"/>
  <c r="R8" i="147" s="1"/>
  <c r="L51" i="146"/>
  <c r="K44" i="146"/>
  <c r="C21" i="146"/>
  <c r="M36" i="146"/>
  <c r="E35" i="146"/>
  <c r="E35" i="147" s="1"/>
  <c r="U31" i="146"/>
  <c r="T30" i="146"/>
  <c r="V21" i="146"/>
  <c r="V21" i="147" s="1"/>
  <c r="D15" i="146"/>
  <c r="Q8" i="146"/>
  <c r="Q8" i="147" s="1"/>
  <c r="J7" i="146"/>
  <c r="K51" i="146"/>
  <c r="J44" i="146"/>
  <c r="C20" i="146"/>
  <c r="L36" i="146"/>
  <c r="L36" i="147" s="1"/>
  <c r="D35" i="146"/>
  <c r="D35" i="147" s="1"/>
  <c r="T31" i="146"/>
  <c r="S30" i="146"/>
  <c r="S30" i="147" s="1"/>
  <c r="O26" i="146"/>
  <c r="O26" i="147" s="1"/>
  <c r="R21" i="146"/>
  <c r="R21" i="147" s="1"/>
  <c r="V14" i="146"/>
  <c r="V14" i="147" s="1"/>
  <c r="P8" i="146"/>
  <c r="P8" i="147" s="1"/>
  <c r="I7" i="146"/>
  <c r="I44" i="146"/>
  <c r="S14" i="146"/>
  <c r="F44" i="146"/>
  <c r="I36" i="146"/>
  <c r="Q31" i="146"/>
  <c r="P30" i="146"/>
  <c r="M8" i="146"/>
  <c r="H36" i="146"/>
  <c r="P31" i="146"/>
  <c r="O30" i="146"/>
  <c r="G36" i="146"/>
  <c r="G36" i="147" s="1"/>
  <c r="N30" i="146"/>
  <c r="N30" i="147" s="1"/>
  <c r="E21" i="146"/>
  <c r="Q14" i="146"/>
  <c r="D7" i="146"/>
  <c r="R14" i="146"/>
  <c r="L8" i="146"/>
  <c r="C15" i="146"/>
  <c r="O31" i="146"/>
  <c r="K8" i="146"/>
  <c r="K8" i="147" s="1"/>
  <c r="U4" i="146"/>
  <c r="V50" i="146"/>
  <c r="C36" i="146"/>
  <c r="C14" i="146"/>
  <c r="F36" i="146"/>
  <c r="F36" i="147" s="1"/>
  <c r="N31" i="146"/>
  <c r="M30" i="146"/>
  <c r="D21" i="146"/>
  <c r="P14" i="146"/>
  <c r="J8" i="146"/>
  <c r="J8" i="147" s="1"/>
  <c r="O4" i="146"/>
  <c r="U50" i="146"/>
  <c r="I8" i="146"/>
  <c r="N4" i="146"/>
  <c r="P50" i="146"/>
  <c r="V44" i="146"/>
  <c r="N14" i="146"/>
  <c r="H8" i="146"/>
  <c r="H8" i="147" s="1"/>
  <c r="G4" i="146"/>
  <c r="M50" i="146"/>
  <c r="U44" i="146"/>
  <c r="K31" i="146"/>
  <c r="J30" i="146"/>
  <c r="T20" i="146"/>
  <c r="M14" i="146"/>
  <c r="M14" i="147" s="1"/>
  <c r="G8" i="146"/>
  <c r="F4" i="146"/>
  <c r="L50" i="146"/>
  <c r="Q37" i="147"/>
  <c r="N16" i="147"/>
  <c r="I32" i="147"/>
  <c r="R16" i="147"/>
  <c r="M16" i="147"/>
  <c r="S37" i="147"/>
  <c r="H33" i="147"/>
  <c r="E30" i="147"/>
  <c r="G32" i="147"/>
  <c r="I33" i="147"/>
  <c r="H32" i="147"/>
  <c r="R37" i="147"/>
  <c r="K16" i="147"/>
  <c r="H6" i="147"/>
  <c r="H31" i="147"/>
  <c r="L16" i="147"/>
  <c r="P37" i="147"/>
  <c r="C35" i="146"/>
  <c r="J20" i="146"/>
  <c r="T4" i="146"/>
  <c r="Q33" i="147"/>
  <c r="G26" i="146"/>
  <c r="P21" i="146"/>
  <c r="I20" i="146"/>
  <c r="I20" i="147" s="1"/>
  <c r="S15" i="146"/>
  <c r="S4" i="146"/>
  <c r="I26" i="146"/>
  <c r="I26" i="147" s="1"/>
  <c r="K20" i="146"/>
  <c r="K20" i="147" s="1"/>
  <c r="N50" i="146"/>
  <c r="O50" i="146"/>
  <c r="Q50" i="146"/>
  <c r="C50" i="146"/>
  <c r="I4" i="146"/>
  <c r="L7" i="146"/>
  <c r="L7" i="147" s="1"/>
  <c r="T15" i="146"/>
  <c r="F21" i="146"/>
  <c r="F21" i="147" s="1"/>
  <c r="R50" i="146"/>
  <c r="J4" i="146"/>
  <c r="J4" i="147" s="1"/>
  <c r="M7" i="146"/>
  <c r="M7" i="147" s="1"/>
  <c r="U15" i="146"/>
  <c r="G21" i="146"/>
  <c r="G21" i="147" s="1"/>
  <c r="S50" i="146"/>
  <c r="T50" i="146"/>
  <c r="L4" i="146"/>
  <c r="O7" i="146"/>
  <c r="I21" i="146"/>
  <c r="I21" i="147" s="1"/>
  <c r="G50" i="146"/>
  <c r="H4" i="146"/>
  <c r="Q7" i="146"/>
  <c r="E15" i="146"/>
  <c r="S21" i="146"/>
  <c r="H50" i="146"/>
  <c r="K4" i="146"/>
  <c r="R7" i="146"/>
  <c r="F15" i="146"/>
  <c r="T21" i="146"/>
  <c r="T21" i="147" s="1"/>
  <c r="C7" i="146"/>
  <c r="I50" i="146"/>
  <c r="M4" i="146"/>
  <c r="S7" i="146"/>
  <c r="S7" i="147" s="1"/>
  <c r="G15" i="146"/>
  <c r="U21" i="146"/>
  <c r="U21" i="147" s="1"/>
  <c r="V15" i="146"/>
  <c r="E36" i="147"/>
  <c r="O21" i="146"/>
  <c r="T31" i="147"/>
  <c r="R4" i="146"/>
  <c r="F50" i="146"/>
  <c r="I37" i="147"/>
  <c r="D6" i="147"/>
  <c r="V51" i="146"/>
  <c r="E20" i="146"/>
  <c r="K26" i="146"/>
  <c r="T35" i="146"/>
  <c r="C51" i="146"/>
  <c r="F20" i="146"/>
  <c r="L26" i="146"/>
  <c r="U35" i="146"/>
  <c r="H20" i="146"/>
  <c r="H20" i="147" s="1"/>
  <c r="N26" i="146"/>
  <c r="P51" i="146"/>
  <c r="O20" i="146"/>
  <c r="D26" i="146"/>
  <c r="D26" i="147" s="1"/>
  <c r="P35" i="146"/>
  <c r="Q20" i="146"/>
  <c r="F26" i="146"/>
  <c r="R35" i="146"/>
  <c r="R35" i="147" s="1"/>
  <c r="Q21" i="146"/>
  <c r="K50" i="146"/>
  <c r="N21" i="146"/>
  <c r="D20" i="146"/>
  <c r="Q15" i="146"/>
  <c r="S31" i="147"/>
  <c r="Q4" i="146"/>
  <c r="G33" i="147"/>
  <c r="G31" i="147"/>
  <c r="C37" i="147"/>
  <c r="V6" i="147"/>
  <c r="V31" i="147"/>
  <c r="G20" i="146"/>
  <c r="G20" i="147" s="1"/>
  <c r="R15" i="146"/>
  <c r="M21" i="146"/>
  <c r="P15" i="146"/>
  <c r="R6" i="147"/>
  <c r="P4" i="146"/>
  <c r="F33" i="147"/>
  <c r="U51" i="146"/>
  <c r="I16" i="147"/>
  <c r="V49" i="146"/>
  <c r="J49" i="146"/>
  <c r="K49" i="146"/>
  <c r="N49" i="146"/>
  <c r="M49" i="146"/>
  <c r="L49" i="146"/>
  <c r="I49" i="146"/>
  <c r="C6" i="147"/>
  <c r="Q32" i="147"/>
  <c r="D33" i="147"/>
  <c r="L169" i="147"/>
  <c r="L23" i="147"/>
  <c r="O31" i="147"/>
  <c r="O6" i="147"/>
  <c r="V37" i="147"/>
  <c r="E37" i="147"/>
  <c r="T32" i="147"/>
  <c r="N31" i="147"/>
  <c r="N6" i="147"/>
  <c r="U37" i="147"/>
  <c r="K31" i="147"/>
  <c r="K6" i="147"/>
  <c r="I31" i="147"/>
  <c r="I6" i="147"/>
  <c r="C31" i="147"/>
  <c r="O32" i="147"/>
  <c r="G37" i="147"/>
  <c r="V32" i="147"/>
  <c r="P31" i="147"/>
  <c r="U32" i="147"/>
  <c r="D37" i="147"/>
  <c r="S32" i="147"/>
  <c r="M31" i="147"/>
  <c r="M6" i="147"/>
  <c r="S33" i="147"/>
  <c r="C32" i="147"/>
  <c r="I4" i="147"/>
  <c r="J31" i="147"/>
  <c r="J6" i="147"/>
  <c r="P32" i="147"/>
  <c r="Q31" i="147"/>
  <c r="C33" i="147"/>
  <c r="F37" i="147"/>
  <c r="L31" i="147"/>
  <c r="L6" i="147"/>
  <c r="R33" i="147"/>
  <c r="M33" i="147"/>
  <c r="L33" i="147"/>
  <c r="K33" i="147"/>
  <c r="K14" i="147"/>
  <c r="L32" i="147"/>
  <c r="E6" i="147"/>
  <c r="N33" i="147"/>
  <c r="F6" i="147"/>
  <c r="K32" i="147"/>
  <c r="J32" i="147"/>
  <c r="N37" i="147"/>
  <c r="J33" i="147"/>
  <c r="G6" i="147"/>
  <c r="M37" i="147"/>
  <c r="T6" i="147"/>
  <c r="L37" i="147"/>
  <c r="U6" i="147"/>
  <c r="S6" i="147"/>
  <c r="K37" i="147"/>
  <c r="J37" i="147"/>
  <c r="C11" i="141"/>
  <c r="O45" i="123"/>
  <c r="M69" i="129" l="1"/>
  <c r="P68" i="129"/>
  <c r="N68" i="129" s="1"/>
  <c r="K68" i="129"/>
  <c r="Q68" i="129" s="1"/>
  <c r="O81" i="154"/>
  <c r="Q107" i="154" s="1"/>
  <c r="L69" i="154"/>
  <c r="K106" i="154" s="1"/>
  <c r="L24" i="159" s="1"/>
  <c r="O69" i="154"/>
  <c r="Q106" i="154" s="1"/>
  <c r="O26" i="154"/>
  <c r="Q103" i="154" s="1"/>
  <c r="L106" i="51"/>
  <c r="O91" i="51"/>
  <c r="K106" i="51"/>
  <c r="K84" i="159" s="1"/>
  <c r="N91" i="51"/>
  <c r="F26" i="159"/>
  <c r="J26" i="159"/>
  <c r="K26" i="159"/>
  <c r="C109" i="154"/>
  <c r="D21" i="159"/>
  <c r="D26" i="159" s="1"/>
  <c r="O92" i="51"/>
  <c r="M91" i="51"/>
  <c r="E109" i="154"/>
  <c r="J109" i="154"/>
  <c r="I109" i="154"/>
  <c r="L26" i="154"/>
  <c r="K103" i="154" s="1"/>
  <c r="N90" i="51"/>
  <c r="P109" i="154"/>
  <c r="O109" i="154"/>
  <c r="J45" i="51"/>
  <c r="J105" i="51" s="1"/>
  <c r="M90" i="51"/>
  <c r="I43" i="147"/>
  <c r="I95" i="147"/>
  <c r="E51" i="146"/>
  <c r="E26" i="146"/>
  <c r="E26" i="147" s="1"/>
  <c r="J26" i="146"/>
  <c r="P20" i="146"/>
  <c r="P20" i="147" s="1"/>
  <c r="D51" i="146"/>
  <c r="O170" i="147"/>
  <c r="O24" i="147"/>
  <c r="Q26" i="146"/>
  <c r="F35" i="146"/>
  <c r="F35" i="147" s="1"/>
  <c r="L35" i="146"/>
  <c r="L35" i="147" s="1"/>
  <c r="F51" i="146"/>
  <c r="N35" i="146"/>
  <c r="N35" i="147" s="1"/>
  <c r="G51" i="146"/>
  <c r="R26" i="146"/>
  <c r="M35" i="146"/>
  <c r="M35" i="147" s="1"/>
  <c r="S26" i="146"/>
  <c r="I35" i="146"/>
  <c r="I35" i="147" s="1"/>
  <c r="T26" i="146"/>
  <c r="J35" i="146"/>
  <c r="J35" i="147" s="1"/>
  <c r="K35" i="146"/>
  <c r="K35" i="147" s="1"/>
  <c r="H51" i="146"/>
  <c r="I51" i="146"/>
  <c r="M51" i="146"/>
  <c r="N20" i="146"/>
  <c r="N20" i="147" s="1"/>
  <c r="H26" i="146"/>
  <c r="O35" i="146"/>
  <c r="O35" i="147" s="1"/>
  <c r="N51" i="146"/>
  <c r="S51" i="146"/>
  <c r="Q51" i="146"/>
  <c r="J51" i="146"/>
  <c r="P26" i="146"/>
  <c r="P26" i="147" s="1"/>
  <c r="V26" i="146"/>
  <c r="V43" i="147" s="1"/>
  <c r="I45" i="146"/>
  <c r="O2" i="146"/>
  <c r="O2" i="147" s="1"/>
  <c r="R3" i="146"/>
  <c r="R3" i="147" s="1"/>
  <c r="U5" i="146"/>
  <c r="U5" i="147" s="1"/>
  <c r="D9" i="146"/>
  <c r="D9" i="147" s="1"/>
  <c r="F10" i="146"/>
  <c r="F10" i="147" s="1"/>
  <c r="H11" i="146"/>
  <c r="J12" i="146"/>
  <c r="J12" i="147" s="1"/>
  <c r="L13" i="146"/>
  <c r="L13" i="147" s="1"/>
  <c r="D17" i="146"/>
  <c r="D17" i="147" s="1"/>
  <c r="F18" i="146"/>
  <c r="F18" i="147" s="1"/>
  <c r="H19" i="146"/>
  <c r="H19" i="147" s="1"/>
  <c r="T27" i="146"/>
  <c r="T27" i="147" s="1"/>
  <c r="U28" i="146"/>
  <c r="U28" i="147" s="1"/>
  <c r="V29" i="146"/>
  <c r="V29" i="147" s="1"/>
  <c r="V34" i="146"/>
  <c r="V34" i="147" s="1"/>
  <c r="O38" i="146"/>
  <c r="O38" i="147" s="1"/>
  <c r="V42" i="146"/>
  <c r="V42" i="147" s="1"/>
  <c r="C3" i="146"/>
  <c r="C3" i="147" s="1"/>
  <c r="C34" i="146"/>
  <c r="C34" i="147" s="1"/>
  <c r="P38" i="146"/>
  <c r="P38" i="147" s="1"/>
  <c r="D43" i="146"/>
  <c r="C5" i="146"/>
  <c r="C5" i="147" s="1"/>
  <c r="C38" i="146"/>
  <c r="C38" i="147" s="1"/>
  <c r="G43" i="146"/>
  <c r="U2" i="146"/>
  <c r="U2" i="147" s="1"/>
  <c r="I9" i="146"/>
  <c r="I9" i="147" s="1"/>
  <c r="M11" i="146"/>
  <c r="Q13" i="146"/>
  <c r="Q13" i="147" s="1"/>
  <c r="N19" i="146"/>
  <c r="N19" i="147" s="1"/>
  <c r="E27" i="146"/>
  <c r="E27" i="147" s="1"/>
  <c r="G29" i="146"/>
  <c r="G29" i="147" s="1"/>
  <c r="G34" i="146"/>
  <c r="G34" i="147" s="1"/>
  <c r="T38" i="146"/>
  <c r="T38" i="147" s="1"/>
  <c r="H43" i="146"/>
  <c r="C11" i="146"/>
  <c r="V2" i="146"/>
  <c r="V2" i="147" s="1"/>
  <c r="F5" i="146"/>
  <c r="F5" i="147" s="1"/>
  <c r="N11" i="146"/>
  <c r="K17" i="146"/>
  <c r="K17" i="147" s="1"/>
  <c r="U38" i="146"/>
  <c r="U38" i="147" s="1"/>
  <c r="I43" i="146"/>
  <c r="C42" i="146"/>
  <c r="C42" i="147" s="1"/>
  <c r="D3" i="146"/>
  <c r="D3" i="147" s="1"/>
  <c r="G5" i="146"/>
  <c r="G5" i="147" s="1"/>
  <c r="M10" i="146"/>
  <c r="M10" i="147" s="1"/>
  <c r="Q12" i="146"/>
  <c r="Q12" i="147" s="1"/>
  <c r="S13" i="146"/>
  <c r="S13" i="147" s="1"/>
  <c r="N18" i="146"/>
  <c r="N18" i="147" s="1"/>
  <c r="H28" i="146"/>
  <c r="H28" i="147" s="1"/>
  <c r="J43" i="146"/>
  <c r="C43" i="146"/>
  <c r="E3" i="146"/>
  <c r="E3" i="147" s="1"/>
  <c r="I5" i="146"/>
  <c r="I5" i="147" s="1"/>
  <c r="L9" i="146"/>
  <c r="L9" i="147" s="1"/>
  <c r="N10" i="146"/>
  <c r="N10" i="147" s="1"/>
  <c r="T13" i="146"/>
  <c r="T13" i="147" s="1"/>
  <c r="M17" i="146"/>
  <c r="M17" i="147" s="1"/>
  <c r="Q19" i="146"/>
  <c r="Q19" i="147" s="1"/>
  <c r="H27" i="146"/>
  <c r="H27" i="147" s="1"/>
  <c r="J45" i="146"/>
  <c r="P2" i="146"/>
  <c r="P2" i="147" s="1"/>
  <c r="S3" i="146"/>
  <c r="S3" i="147" s="1"/>
  <c r="E9" i="146"/>
  <c r="E9" i="147" s="1"/>
  <c r="G10" i="146"/>
  <c r="G10" i="147" s="1"/>
  <c r="I11" i="146"/>
  <c r="K12" i="146"/>
  <c r="K12" i="147" s="1"/>
  <c r="M13" i="146"/>
  <c r="M13" i="147" s="1"/>
  <c r="E17" i="146"/>
  <c r="E17" i="147" s="1"/>
  <c r="G18" i="146"/>
  <c r="G18" i="147" s="1"/>
  <c r="I19" i="146"/>
  <c r="I19" i="147" s="1"/>
  <c r="U27" i="146"/>
  <c r="U27" i="147" s="1"/>
  <c r="V28" i="146"/>
  <c r="V28" i="147" s="1"/>
  <c r="S38" i="146"/>
  <c r="S38" i="147" s="1"/>
  <c r="N45" i="146"/>
  <c r="L18" i="146"/>
  <c r="L18" i="147" s="1"/>
  <c r="F28" i="146"/>
  <c r="F28" i="147" s="1"/>
  <c r="P45" i="146"/>
  <c r="J9" i="146"/>
  <c r="J9" i="147" s="1"/>
  <c r="M18" i="146"/>
  <c r="M18" i="147" s="1"/>
  <c r="G28" i="146"/>
  <c r="G28" i="147" s="1"/>
  <c r="C12" i="146"/>
  <c r="C12" i="147" s="1"/>
  <c r="O11" i="146"/>
  <c r="I42" i="146"/>
  <c r="I42" i="147" s="1"/>
  <c r="P11" i="146"/>
  <c r="K45" i="146"/>
  <c r="Q2" i="146"/>
  <c r="Q2" i="147" s="1"/>
  <c r="U3" i="146"/>
  <c r="U3" i="147" s="1"/>
  <c r="F9" i="146"/>
  <c r="F9" i="147" s="1"/>
  <c r="H10" i="146"/>
  <c r="H10" i="147" s="1"/>
  <c r="J11" i="146"/>
  <c r="L12" i="146"/>
  <c r="L12" i="147" s="1"/>
  <c r="N13" i="146"/>
  <c r="N13" i="147" s="1"/>
  <c r="F17" i="146"/>
  <c r="F17" i="147" s="1"/>
  <c r="H18" i="146"/>
  <c r="H18" i="147" s="1"/>
  <c r="J19" i="146"/>
  <c r="J19" i="147" s="1"/>
  <c r="V27" i="146"/>
  <c r="V27" i="147" s="1"/>
  <c r="D29" i="146"/>
  <c r="D29" i="147" s="1"/>
  <c r="D34" i="146"/>
  <c r="D34" i="147" s="1"/>
  <c r="Q38" i="146"/>
  <c r="Q38" i="147" s="1"/>
  <c r="D42" i="146"/>
  <c r="D42" i="147" s="1"/>
  <c r="E43" i="146"/>
  <c r="F42" i="146"/>
  <c r="F42" i="147" s="1"/>
  <c r="E5" i="146"/>
  <c r="E5" i="147" s="1"/>
  <c r="O12" i="146"/>
  <c r="O12" i="147" s="1"/>
  <c r="I2" i="146"/>
  <c r="I2" i="147" s="1"/>
  <c r="L10" i="146"/>
  <c r="L10" i="147" s="1"/>
  <c r="O19" i="146"/>
  <c r="O19" i="147" s="1"/>
  <c r="H29" i="146"/>
  <c r="H29" i="147" s="1"/>
  <c r="Q45" i="146"/>
  <c r="K9" i="146"/>
  <c r="K9" i="147" s="1"/>
  <c r="L17" i="146"/>
  <c r="L17" i="147" s="1"/>
  <c r="G27" i="146"/>
  <c r="G27" i="147" s="1"/>
  <c r="I34" i="146"/>
  <c r="I34" i="147" s="1"/>
  <c r="L45" i="146"/>
  <c r="S2" i="146"/>
  <c r="S2" i="147" s="1"/>
  <c r="V3" i="146"/>
  <c r="V3" i="147" s="1"/>
  <c r="G9" i="146"/>
  <c r="G9" i="147" s="1"/>
  <c r="I10" i="146"/>
  <c r="I10" i="147" s="1"/>
  <c r="K11" i="146"/>
  <c r="M12" i="146"/>
  <c r="M12" i="147" s="1"/>
  <c r="O13" i="146"/>
  <c r="O13" i="147" s="1"/>
  <c r="G17" i="146"/>
  <c r="G17" i="147" s="1"/>
  <c r="I18" i="146"/>
  <c r="I18" i="147" s="1"/>
  <c r="K19" i="146"/>
  <c r="K19" i="147" s="1"/>
  <c r="D28" i="146"/>
  <c r="D28" i="147" s="1"/>
  <c r="E29" i="146"/>
  <c r="E29" i="147" s="1"/>
  <c r="E34" i="146"/>
  <c r="E34" i="147" s="1"/>
  <c r="R38" i="146"/>
  <c r="R38" i="147" s="1"/>
  <c r="E42" i="146"/>
  <c r="E42" i="147" s="1"/>
  <c r="F43" i="146"/>
  <c r="C9" i="146"/>
  <c r="C9" i="147" s="1"/>
  <c r="R13" i="146"/>
  <c r="R13" i="147" s="1"/>
  <c r="F27" i="146"/>
  <c r="F27" i="147" s="1"/>
  <c r="R45" i="146"/>
  <c r="O18" i="146"/>
  <c r="O18" i="147" s="1"/>
  <c r="M45" i="146"/>
  <c r="T2" i="146"/>
  <c r="T2" i="147" s="1"/>
  <c r="D5" i="146"/>
  <c r="D5" i="147" s="1"/>
  <c r="H9" i="146"/>
  <c r="H9" i="147" s="1"/>
  <c r="J10" i="146"/>
  <c r="J10" i="147" s="1"/>
  <c r="L11" i="146"/>
  <c r="N12" i="146"/>
  <c r="N12" i="147" s="1"/>
  <c r="P13" i="146"/>
  <c r="P13" i="147" s="1"/>
  <c r="H17" i="146"/>
  <c r="H17" i="147" s="1"/>
  <c r="J18" i="146"/>
  <c r="J18" i="147" s="1"/>
  <c r="M19" i="146"/>
  <c r="M19" i="147" s="1"/>
  <c r="D27" i="146"/>
  <c r="D27" i="147" s="1"/>
  <c r="E28" i="146"/>
  <c r="E28" i="147" s="1"/>
  <c r="F29" i="146"/>
  <c r="F29" i="147" s="1"/>
  <c r="F34" i="146"/>
  <c r="F34" i="147" s="1"/>
  <c r="C10" i="146"/>
  <c r="C10" i="147" s="1"/>
  <c r="K10" i="146"/>
  <c r="K10" i="147" s="1"/>
  <c r="I17" i="146"/>
  <c r="I17" i="147" s="1"/>
  <c r="G42" i="146"/>
  <c r="G42" i="147" s="1"/>
  <c r="P12" i="146"/>
  <c r="P12" i="147" s="1"/>
  <c r="H34" i="146"/>
  <c r="H34" i="147" s="1"/>
  <c r="H42" i="146"/>
  <c r="H42" i="147" s="1"/>
  <c r="P19" i="146"/>
  <c r="P19" i="147" s="1"/>
  <c r="I29" i="146"/>
  <c r="I29" i="147" s="1"/>
  <c r="V38" i="146"/>
  <c r="V38" i="147" s="1"/>
  <c r="C13" i="146"/>
  <c r="C13" i="147" s="1"/>
  <c r="R12" i="146"/>
  <c r="R12" i="147" s="1"/>
  <c r="U45" i="146"/>
  <c r="F3" i="146"/>
  <c r="F3" i="147" s="1"/>
  <c r="S5" i="146"/>
  <c r="S5" i="147" s="1"/>
  <c r="E11" i="146"/>
  <c r="G13" i="146"/>
  <c r="G13" i="147" s="1"/>
  <c r="R17" i="146"/>
  <c r="R17" i="147" s="1"/>
  <c r="T19" i="146"/>
  <c r="T19" i="147" s="1"/>
  <c r="P28" i="146"/>
  <c r="P28" i="147" s="1"/>
  <c r="O34" i="146"/>
  <c r="O34" i="147" s="1"/>
  <c r="O42" i="146"/>
  <c r="O42" i="147" s="1"/>
  <c r="C17" i="146"/>
  <c r="C17" i="147" s="1"/>
  <c r="U13" i="146"/>
  <c r="U13" i="147" s="1"/>
  <c r="L27" i="146"/>
  <c r="L27" i="147" s="1"/>
  <c r="T34" i="146"/>
  <c r="T34" i="147" s="1"/>
  <c r="R18" i="146"/>
  <c r="R18" i="147" s="1"/>
  <c r="M43" i="146"/>
  <c r="D2" i="146"/>
  <c r="D2" i="147" s="1"/>
  <c r="S18" i="146"/>
  <c r="S18" i="147" s="1"/>
  <c r="E2" i="146"/>
  <c r="E2" i="147" s="1"/>
  <c r="V45" i="146"/>
  <c r="G3" i="146"/>
  <c r="G3" i="147" s="1"/>
  <c r="T5" i="146"/>
  <c r="T5" i="147" s="1"/>
  <c r="M9" i="146"/>
  <c r="M9" i="147" s="1"/>
  <c r="F11" i="146"/>
  <c r="H13" i="146"/>
  <c r="H13" i="147" s="1"/>
  <c r="S17" i="146"/>
  <c r="S17" i="147" s="1"/>
  <c r="U19" i="146"/>
  <c r="U19" i="147" s="1"/>
  <c r="Q28" i="146"/>
  <c r="Q28" i="147" s="1"/>
  <c r="P34" i="146"/>
  <c r="P34" i="147" s="1"/>
  <c r="P42" i="146"/>
  <c r="P42" i="147" s="1"/>
  <c r="C18" i="146"/>
  <c r="C18" i="147" s="1"/>
  <c r="K3" i="146"/>
  <c r="K3" i="147" s="1"/>
  <c r="V17" i="146"/>
  <c r="V17" i="147" s="1"/>
  <c r="K27" i="146"/>
  <c r="K27" i="147" s="1"/>
  <c r="Q9" i="146"/>
  <c r="Q9" i="147" s="1"/>
  <c r="T42" i="146"/>
  <c r="T42" i="147" s="1"/>
  <c r="C28" i="146"/>
  <c r="C28" i="147" s="1"/>
  <c r="P27" i="146"/>
  <c r="P27" i="147" s="1"/>
  <c r="G12" i="146"/>
  <c r="G12" i="147" s="1"/>
  <c r="R27" i="146"/>
  <c r="R27" i="147" s="1"/>
  <c r="R29" i="146"/>
  <c r="R29" i="147" s="1"/>
  <c r="S12" i="146"/>
  <c r="S12" i="147" s="1"/>
  <c r="F45" i="146"/>
  <c r="N5" i="146"/>
  <c r="N5" i="147" s="1"/>
  <c r="T12" i="146"/>
  <c r="T12" i="147" s="1"/>
  <c r="K28" i="146"/>
  <c r="K28" i="147" s="1"/>
  <c r="H3" i="146"/>
  <c r="H3" i="147" s="1"/>
  <c r="N9" i="146"/>
  <c r="N9" i="147" s="1"/>
  <c r="G11" i="146"/>
  <c r="I13" i="146"/>
  <c r="I13" i="147" s="1"/>
  <c r="T17" i="146"/>
  <c r="T17" i="147" s="1"/>
  <c r="V19" i="146"/>
  <c r="V19" i="147" s="1"/>
  <c r="I27" i="146"/>
  <c r="I27" i="147" s="1"/>
  <c r="R28" i="146"/>
  <c r="R28" i="147" s="1"/>
  <c r="Q34" i="146"/>
  <c r="Q34" i="147" s="1"/>
  <c r="Q42" i="146"/>
  <c r="Q42" i="147" s="1"/>
  <c r="C19" i="146"/>
  <c r="C19" i="147" s="1"/>
  <c r="R11" i="146"/>
  <c r="T28" i="146"/>
  <c r="T28" i="147" s="1"/>
  <c r="S34" i="146"/>
  <c r="S34" i="147" s="1"/>
  <c r="S42" i="146"/>
  <c r="S42" i="147" s="1"/>
  <c r="S11" i="146"/>
  <c r="D10" i="146"/>
  <c r="D10" i="147" s="1"/>
  <c r="F38" i="146"/>
  <c r="F38" i="147" s="1"/>
  <c r="E10" i="146"/>
  <c r="E10" i="147" s="1"/>
  <c r="V18" i="146"/>
  <c r="V18" i="147" s="1"/>
  <c r="I38" i="146"/>
  <c r="I38" i="147" s="1"/>
  <c r="C2" i="146"/>
  <c r="C2" i="147" s="1"/>
  <c r="Q10" i="146"/>
  <c r="Q10" i="147" s="1"/>
  <c r="D19" i="146"/>
  <c r="D19" i="147" s="1"/>
  <c r="S29" i="146"/>
  <c r="S29" i="147" s="1"/>
  <c r="J2" i="146"/>
  <c r="J2" i="147" s="1"/>
  <c r="R10" i="146"/>
  <c r="R10" i="147" s="1"/>
  <c r="E19" i="146"/>
  <c r="E19" i="147" s="1"/>
  <c r="J34" i="146"/>
  <c r="J34" i="147" s="1"/>
  <c r="I3" i="146"/>
  <c r="I3" i="147" s="1"/>
  <c r="O9" i="146"/>
  <c r="O9" i="147" s="1"/>
  <c r="Q11" i="146"/>
  <c r="J13" i="146"/>
  <c r="J13" i="147" s="1"/>
  <c r="U17" i="146"/>
  <c r="U17" i="147" s="1"/>
  <c r="J27" i="146"/>
  <c r="J27" i="147" s="1"/>
  <c r="S28" i="146"/>
  <c r="S28" i="147" s="1"/>
  <c r="R34" i="146"/>
  <c r="R34" i="147" s="1"/>
  <c r="R42" i="146"/>
  <c r="R42" i="147" s="1"/>
  <c r="P9" i="146"/>
  <c r="P9" i="147" s="1"/>
  <c r="K13" i="146"/>
  <c r="K13" i="147" s="1"/>
  <c r="L3" i="146"/>
  <c r="L3" i="147" s="1"/>
  <c r="D18" i="146"/>
  <c r="D18" i="147" s="1"/>
  <c r="J29" i="146"/>
  <c r="J29" i="147" s="1"/>
  <c r="L43" i="146"/>
  <c r="E38" i="146"/>
  <c r="E38" i="147" s="1"/>
  <c r="K5" i="146"/>
  <c r="K5" i="147" s="1"/>
  <c r="U18" i="146"/>
  <c r="U18" i="147" s="1"/>
  <c r="Q29" i="146"/>
  <c r="Q29" i="147" s="1"/>
  <c r="H38" i="146"/>
  <c r="H38" i="147" s="1"/>
  <c r="P43" i="146"/>
  <c r="Q43" i="146"/>
  <c r="M5" i="146"/>
  <c r="M5" i="147" s="1"/>
  <c r="M3" i="146"/>
  <c r="M3" i="147" s="1"/>
  <c r="R9" i="146"/>
  <c r="R9" i="147" s="1"/>
  <c r="T11" i="146"/>
  <c r="V13" i="146"/>
  <c r="V13" i="147" s="1"/>
  <c r="E18" i="146"/>
  <c r="E18" i="147" s="1"/>
  <c r="M27" i="146"/>
  <c r="M27" i="147" s="1"/>
  <c r="K29" i="146"/>
  <c r="K29" i="147" s="1"/>
  <c r="U34" i="146"/>
  <c r="U34" i="147" s="1"/>
  <c r="U42" i="146"/>
  <c r="U42" i="147" s="1"/>
  <c r="N3" i="146"/>
  <c r="N3" i="147" s="1"/>
  <c r="S9" i="146"/>
  <c r="S9" i="147" s="1"/>
  <c r="U11" i="146"/>
  <c r="P18" i="146"/>
  <c r="P18" i="147" s="1"/>
  <c r="N27" i="146"/>
  <c r="N27" i="147" s="1"/>
  <c r="L29" i="146"/>
  <c r="L29" i="147" s="1"/>
  <c r="K43" i="146"/>
  <c r="C27" i="146"/>
  <c r="C27" i="147" s="1"/>
  <c r="O3" i="146"/>
  <c r="O3" i="147" s="1"/>
  <c r="U9" i="146"/>
  <c r="U9" i="147" s="1"/>
  <c r="D12" i="146"/>
  <c r="D12" i="147" s="1"/>
  <c r="Q18" i="146"/>
  <c r="Q18" i="147" s="1"/>
  <c r="O27" i="146"/>
  <c r="O27" i="147" s="1"/>
  <c r="M29" i="146"/>
  <c r="M29" i="147" s="1"/>
  <c r="D38" i="146"/>
  <c r="D38" i="147" s="1"/>
  <c r="P3" i="146"/>
  <c r="P3" i="147" s="1"/>
  <c r="V9" i="146"/>
  <c r="V9" i="147" s="1"/>
  <c r="E12" i="146"/>
  <c r="E12" i="147" s="1"/>
  <c r="N29" i="146"/>
  <c r="N29" i="147" s="1"/>
  <c r="C29" i="146"/>
  <c r="C29" i="147" s="1"/>
  <c r="Q3" i="146"/>
  <c r="Q3" i="147" s="1"/>
  <c r="F12" i="146"/>
  <c r="F12" i="147" s="1"/>
  <c r="Q27" i="146"/>
  <c r="Q27" i="147" s="1"/>
  <c r="O29" i="146"/>
  <c r="O29" i="147" s="1"/>
  <c r="N43" i="146"/>
  <c r="J5" i="146"/>
  <c r="J5" i="147" s="1"/>
  <c r="T18" i="146"/>
  <c r="T18" i="147" s="1"/>
  <c r="P29" i="146"/>
  <c r="P29" i="147" s="1"/>
  <c r="G38" i="146"/>
  <c r="G38" i="147" s="1"/>
  <c r="O43" i="146"/>
  <c r="F2" i="146"/>
  <c r="F2" i="147" s="1"/>
  <c r="O10" i="146"/>
  <c r="O10" i="147" s="1"/>
  <c r="H12" i="146"/>
  <c r="H12" i="147" s="1"/>
  <c r="S27" i="146"/>
  <c r="S27" i="147" s="1"/>
  <c r="D45" i="146"/>
  <c r="G2" i="146"/>
  <c r="G2" i="147" s="1"/>
  <c r="L5" i="146"/>
  <c r="L5" i="147" s="1"/>
  <c r="P10" i="146"/>
  <c r="P10" i="147" s="1"/>
  <c r="I12" i="146"/>
  <c r="I12" i="147" s="1"/>
  <c r="I28" i="146"/>
  <c r="I28" i="147" s="1"/>
  <c r="E45" i="146"/>
  <c r="H2" i="146"/>
  <c r="H2" i="147" s="1"/>
  <c r="J28" i="146"/>
  <c r="J28" i="147" s="1"/>
  <c r="J38" i="146"/>
  <c r="J38" i="147" s="1"/>
  <c r="R43" i="146"/>
  <c r="T29" i="146"/>
  <c r="T29" i="147" s="1"/>
  <c r="K38" i="146"/>
  <c r="K38" i="147" s="1"/>
  <c r="V10" i="146"/>
  <c r="V10" i="147" s="1"/>
  <c r="R19" i="146"/>
  <c r="R19" i="147" s="1"/>
  <c r="V12" i="146"/>
  <c r="V12" i="147" s="1"/>
  <c r="N28" i="146"/>
  <c r="N28" i="147" s="1"/>
  <c r="D11" i="146"/>
  <c r="S19" i="146"/>
  <c r="S19" i="147" s="1"/>
  <c r="F13" i="146"/>
  <c r="F13" i="147" s="1"/>
  <c r="G45" i="146"/>
  <c r="O17" i="146"/>
  <c r="O17" i="147" s="1"/>
  <c r="N38" i="146"/>
  <c r="N38" i="147" s="1"/>
  <c r="U12" i="146"/>
  <c r="U12" i="147" s="1"/>
  <c r="E13" i="146"/>
  <c r="E13" i="147" s="1"/>
  <c r="K34" i="146"/>
  <c r="K34" i="147" s="1"/>
  <c r="U29" i="146"/>
  <c r="U29" i="147" s="1"/>
  <c r="V43" i="146"/>
  <c r="Q5" i="146"/>
  <c r="Q5" i="147" s="1"/>
  <c r="R5" i="146"/>
  <c r="R5" i="147" s="1"/>
  <c r="M38" i="146"/>
  <c r="M38" i="147" s="1"/>
  <c r="T10" i="146"/>
  <c r="T10" i="147" s="1"/>
  <c r="J42" i="146"/>
  <c r="J42" i="147" s="1"/>
  <c r="K42" i="146"/>
  <c r="K42" i="147" s="1"/>
  <c r="L42" i="146"/>
  <c r="L42" i="147" s="1"/>
  <c r="M42" i="146"/>
  <c r="M42" i="147" s="1"/>
  <c r="L28" i="146"/>
  <c r="L28" i="147" s="1"/>
  <c r="N42" i="146"/>
  <c r="N42" i="147" s="1"/>
  <c r="K2" i="146"/>
  <c r="K2" i="147" s="1"/>
  <c r="M28" i="146"/>
  <c r="M28" i="147" s="1"/>
  <c r="S43" i="146"/>
  <c r="L2" i="146"/>
  <c r="L2" i="147" s="1"/>
  <c r="T43" i="146"/>
  <c r="M2" i="146"/>
  <c r="M2" i="147" s="1"/>
  <c r="O28" i="146"/>
  <c r="O28" i="147" s="1"/>
  <c r="U43" i="146"/>
  <c r="H45" i="146"/>
  <c r="N2" i="146"/>
  <c r="N2" i="147" s="1"/>
  <c r="N17" i="146"/>
  <c r="N17" i="147" s="1"/>
  <c r="L34" i="146"/>
  <c r="L34" i="147" s="1"/>
  <c r="S45" i="146"/>
  <c r="O5" i="146"/>
  <c r="O5" i="147" s="1"/>
  <c r="M34" i="146"/>
  <c r="M34" i="147" s="1"/>
  <c r="T45" i="146"/>
  <c r="P5" i="146"/>
  <c r="P5" i="147" s="1"/>
  <c r="P17" i="146"/>
  <c r="P17" i="147" s="1"/>
  <c r="N34" i="146"/>
  <c r="N34" i="147" s="1"/>
  <c r="Q17" i="146"/>
  <c r="Q17" i="147" s="1"/>
  <c r="L38" i="146"/>
  <c r="L38" i="147" s="1"/>
  <c r="S10" i="146"/>
  <c r="S10" i="147" s="1"/>
  <c r="F19" i="146"/>
  <c r="F19" i="147" s="1"/>
  <c r="C45" i="146"/>
  <c r="G19" i="146"/>
  <c r="G19" i="147" s="1"/>
  <c r="T51" i="146"/>
  <c r="R51" i="146"/>
  <c r="S35" i="146"/>
  <c r="Q35" i="146"/>
  <c r="Q46" i="146"/>
  <c r="J22" i="146"/>
  <c r="N23" i="146"/>
  <c r="S24" i="146"/>
  <c r="P39" i="146"/>
  <c r="P39" i="147" s="1"/>
  <c r="S40" i="146"/>
  <c r="S40" i="147" s="1"/>
  <c r="U41" i="146"/>
  <c r="U41" i="147" s="1"/>
  <c r="T40" i="146"/>
  <c r="T40" i="147" s="1"/>
  <c r="V41" i="146"/>
  <c r="V41" i="147" s="1"/>
  <c r="U39" i="146"/>
  <c r="U39" i="147" s="1"/>
  <c r="O22" i="146"/>
  <c r="V39" i="146"/>
  <c r="V39" i="147" s="1"/>
  <c r="Q22" i="146"/>
  <c r="V23" i="146"/>
  <c r="F41" i="146"/>
  <c r="F41" i="147" s="1"/>
  <c r="H25" i="146"/>
  <c r="E40" i="146"/>
  <c r="E40" i="147" s="1"/>
  <c r="I25" i="146"/>
  <c r="R46" i="146"/>
  <c r="K22" i="146"/>
  <c r="O23" i="146"/>
  <c r="U24" i="146"/>
  <c r="R39" i="146"/>
  <c r="R39" i="147" s="1"/>
  <c r="C40" i="146"/>
  <c r="C40" i="147" s="1"/>
  <c r="C41" i="146"/>
  <c r="C41" i="147" s="1"/>
  <c r="S22" i="146"/>
  <c r="T22" i="146"/>
  <c r="S46" i="146"/>
  <c r="L22" i="146"/>
  <c r="P23" i="146"/>
  <c r="V24" i="146"/>
  <c r="S39" i="146"/>
  <c r="S39" i="147" s="1"/>
  <c r="U40" i="146"/>
  <c r="U40" i="147" s="1"/>
  <c r="U23" i="146"/>
  <c r="E41" i="146"/>
  <c r="E41" i="147" s="1"/>
  <c r="D40" i="146"/>
  <c r="D40" i="147" s="1"/>
  <c r="G41" i="146"/>
  <c r="G41" i="147" s="1"/>
  <c r="T46" i="146"/>
  <c r="M22" i="146"/>
  <c r="R23" i="146"/>
  <c r="D25" i="146"/>
  <c r="T39" i="146"/>
  <c r="T39" i="147" s="1"/>
  <c r="V40" i="146"/>
  <c r="V40" i="147" s="1"/>
  <c r="C39" i="146"/>
  <c r="C39" i="147" s="1"/>
  <c r="D24" i="146"/>
  <c r="U46" i="146"/>
  <c r="N22" i="146"/>
  <c r="T23" i="146"/>
  <c r="E25" i="146"/>
  <c r="D41" i="146"/>
  <c r="D41" i="147" s="1"/>
  <c r="F25" i="146"/>
  <c r="G25" i="146"/>
  <c r="M46" i="146"/>
  <c r="E24" i="146"/>
  <c r="F24" i="146"/>
  <c r="T25" i="146"/>
  <c r="E39" i="146"/>
  <c r="E39" i="147" s="1"/>
  <c r="O40" i="146"/>
  <c r="O40" i="147" s="1"/>
  <c r="I39" i="146"/>
  <c r="I39" i="147" s="1"/>
  <c r="J46" i="146"/>
  <c r="J41" i="146"/>
  <c r="J41" i="147" s="1"/>
  <c r="G24" i="146"/>
  <c r="V25" i="146"/>
  <c r="F39" i="146"/>
  <c r="F39" i="147" s="1"/>
  <c r="P40" i="146"/>
  <c r="P40" i="147" s="1"/>
  <c r="C23" i="146"/>
  <c r="E22" i="146"/>
  <c r="O39" i="146"/>
  <c r="O39" i="147" s="1"/>
  <c r="K25" i="146"/>
  <c r="R41" i="146"/>
  <c r="R41" i="147" s="1"/>
  <c r="G23" i="146"/>
  <c r="D46" i="146"/>
  <c r="H23" i="146"/>
  <c r="F46" i="146"/>
  <c r="H24" i="146"/>
  <c r="G39" i="146"/>
  <c r="G39" i="147" s="1"/>
  <c r="Q40" i="146"/>
  <c r="Q40" i="147" s="1"/>
  <c r="I46" i="146"/>
  <c r="D22" i="146"/>
  <c r="K24" i="146"/>
  <c r="N39" i="146"/>
  <c r="N39" i="147" s="1"/>
  <c r="Q24" i="146"/>
  <c r="J25" i="146"/>
  <c r="T41" i="146"/>
  <c r="T41" i="147" s="1"/>
  <c r="N25" i="146"/>
  <c r="G46" i="146"/>
  <c r="I24" i="146"/>
  <c r="H39" i="146"/>
  <c r="H39" i="147" s="1"/>
  <c r="H41" i="146"/>
  <c r="H41" i="147" s="1"/>
  <c r="C22" i="146"/>
  <c r="J24" i="146"/>
  <c r="I41" i="146"/>
  <c r="I41" i="147" s="1"/>
  <c r="J39" i="146"/>
  <c r="J39" i="147" s="1"/>
  <c r="C24" i="146"/>
  <c r="M39" i="146"/>
  <c r="M39" i="147" s="1"/>
  <c r="U22" i="146"/>
  <c r="P41" i="146"/>
  <c r="P41" i="147" s="1"/>
  <c r="L25" i="146"/>
  <c r="H40" i="146"/>
  <c r="H40" i="147" s="1"/>
  <c r="M25" i="146"/>
  <c r="I40" i="146"/>
  <c r="I40" i="147" s="1"/>
  <c r="K46" i="146"/>
  <c r="F22" i="146"/>
  <c r="L24" i="146"/>
  <c r="K39" i="146"/>
  <c r="K39" i="147" s="1"/>
  <c r="K41" i="146"/>
  <c r="K41" i="147" s="1"/>
  <c r="C25" i="146"/>
  <c r="L46" i="146"/>
  <c r="G22" i="146"/>
  <c r="M24" i="146"/>
  <c r="L39" i="146"/>
  <c r="L39" i="147" s="1"/>
  <c r="L41" i="146"/>
  <c r="L41" i="147" s="1"/>
  <c r="P46" i="146"/>
  <c r="H22" i="146"/>
  <c r="N24" i="146"/>
  <c r="M41" i="146"/>
  <c r="M41" i="147" s="1"/>
  <c r="P24" i="146"/>
  <c r="N41" i="146"/>
  <c r="N41" i="147" s="1"/>
  <c r="V22" i="146"/>
  <c r="O41" i="146"/>
  <c r="O41" i="147" s="1"/>
  <c r="D23" i="146"/>
  <c r="F40" i="146"/>
  <c r="F40" i="147" s="1"/>
  <c r="E23" i="146"/>
  <c r="G40" i="146"/>
  <c r="G40" i="147" s="1"/>
  <c r="Q41" i="146"/>
  <c r="Q41" i="147" s="1"/>
  <c r="F23" i="146"/>
  <c r="C46" i="146"/>
  <c r="D39" i="146"/>
  <c r="D39" i="147" s="1"/>
  <c r="K23" i="146"/>
  <c r="J40" i="146"/>
  <c r="J40" i="147" s="1"/>
  <c r="L40" i="146"/>
  <c r="L40" i="147" s="1"/>
  <c r="N40" i="146"/>
  <c r="N40" i="147" s="1"/>
  <c r="I23" i="146"/>
  <c r="K40" i="146"/>
  <c r="K40" i="147" s="1"/>
  <c r="J23" i="146"/>
  <c r="M40" i="146"/>
  <c r="M40" i="147" s="1"/>
  <c r="M23" i="146"/>
  <c r="O25" i="146"/>
  <c r="P25" i="146"/>
  <c r="Q25" i="146"/>
  <c r="R25" i="146"/>
  <c r="E46" i="146"/>
  <c r="U26" i="146"/>
  <c r="U26" i="147" s="1"/>
  <c r="V35" i="146"/>
  <c r="V35" i="147" s="1"/>
  <c r="C26" i="146"/>
  <c r="U20" i="146"/>
  <c r="U20" i="147" s="1"/>
  <c r="S96" i="147"/>
  <c r="M4" i="147"/>
  <c r="P7" i="147"/>
  <c r="V15" i="147"/>
  <c r="C21" i="147"/>
  <c r="S23" i="147"/>
  <c r="S16" i="147"/>
  <c r="T14" i="147"/>
  <c r="V11" i="147"/>
  <c r="V16" i="147"/>
  <c r="I168" i="147"/>
  <c r="D36" i="147"/>
  <c r="U4" i="147"/>
  <c r="U10" i="147"/>
  <c r="D7" i="147"/>
  <c r="J21" i="147"/>
  <c r="D13" i="147"/>
  <c r="L14" i="147"/>
  <c r="E7" i="147"/>
  <c r="E4" i="147"/>
  <c r="O16" i="147"/>
  <c r="V4" i="147"/>
  <c r="L20" i="147"/>
  <c r="Q39" i="147"/>
  <c r="E14" i="147"/>
  <c r="J3" i="147"/>
  <c r="Q23" i="147"/>
  <c r="Q36" i="147"/>
  <c r="R20" i="147"/>
  <c r="V20" i="147"/>
  <c r="D14" i="147"/>
  <c r="S171" i="147"/>
  <c r="U171" i="147"/>
  <c r="R22" i="147"/>
  <c r="G4" i="147"/>
  <c r="M30" i="147"/>
  <c r="O14" i="147"/>
  <c r="C14" i="147"/>
  <c r="N14" i="147"/>
  <c r="I14" i="147"/>
  <c r="F8" i="147"/>
  <c r="M36" i="147"/>
  <c r="C8" i="147"/>
  <c r="F14" i="147"/>
  <c r="U25" i="147"/>
  <c r="C30" i="147"/>
  <c r="S41" i="147"/>
  <c r="U16" i="147"/>
  <c r="R95" i="147"/>
  <c r="V7" i="147"/>
  <c r="T36" i="147"/>
  <c r="T30" i="147"/>
  <c r="P16" i="147"/>
  <c r="O30" i="147"/>
  <c r="D8" i="147"/>
  <c r="J43" i="147"/>
  <c r="J26" i="147"/>
  <c r="F4" i="147"/>
  <c r="I8" i="147"/>
  <c r="K4" i="147"/>
  <c r="H14" i="147"/>
  <c r="E8" i="147"/>
  <c r="R24" i="147"/>
  <c r="P95" i="147"/>
  <c r="R97" i="147"/>
  <c r="P14" i="147"/>
  <c r="R36" i="147"/>
  <c r="P22" i="147"/>
  <c r="T35" i="147"/>
  <c r="L8" i="147"/>
  <c r="Q14" i="147"/>
  <c r="Q7" i="147"/>
  <c r="T24" i="147"/>
  <c r="T97" i="147"/>
  <c r="I7" i="147"/>
  <c r="D16" i="147"/>
  <c r="S25" i="147"/>
  <c r="S20" i="147"/>
  <c r="J7" i="147"/>
  <c r="R14" i="147"/>
  <c r="M43" i="147"/>
  <c r="T8" i="147"/>
  <c r="T20" i="147"/>
  <c r="F26" i="147"/>
  <c r="O4" i="147"/>
  <c r="M26" i="147"/>
  <c r="E16" i="147"/>
  <c r="D21" i="147"/>
  <c r="C43" i="147"/>
  <c r="T170" i="147"/>
  <c r="G8" i="147"/>
  <c r="Q96" i="147"/>
  <c r="C26" i="147"/>
  <c r="G14" i="147"/>
  <c r="C20" i="147"/>
  <c r="H36" i="147"/>
  <c r="D20" i="147"/>
  <c r="S14" i="147"/>
  <c r="E21" i="147"/>
  <c r="N43" i="147"/>
  <c r="N4" i="147"/>
  <c r="M8" i="147"/>
  <c r="N26" i="147"/>
  <c r="J30" i="147"/>
  <c r="I36" i="147"/>
  <c r="O43" i="147"/>
  <c r="P30" i="147"/>
  <c r="U30" i="147"/>
  <c r="N36" i="147"/>
  <c r="C36" i="147"/>
  <c r="M21" i="147"/>
  <c r="F20" i="147"/>
  <c r="L4" i="147"/>
  <c r="N21" i="147"/>
  <c r="S4" i="147"/>
  <c r="U35" i="147"/>
  <c r="S35" i="147"/>
  <c r="T4" i="147"/>
  <c r="Q20" i="147"/>
  <c r="O21" i="147"/>
  <c r="H4" i="147"/>
  <c r="F43" i="147"/>
  <c r="P4" i="147"/>
  <c r="C7" i="147"/>
  <c r="R7" i="147"/>
  <c r="K43" i="147"/>
  <c r="Q21" i="147"/>
  <c r="D43" i="147"/>
  <c r="L43" i="147"/>
  <c r="Q4" i="147"/>
  <c r="P35" i="147"/>
  <c r="L26" i="147"/>
  <c r="J20" i="147"/>
  <c r="R4" i="147"/>
  <c r="P21" i="147"/>
  <c r="O7" i="147"/>
  <c r="G43" i="147"/>
  <c r="C35" i="147"/>
  <c r="E43" i="147"/>
  <c r="E20" i="147"/>
  <c r="Q35" i="147"/>
  <c r="K26" i="147"/>
  <c r="O20" i="147"/>
  <c r="S21" i="147"/>
  <c r="G26" i="147"/>
  <c r="M70" i="129" l="1"/>
  <c r="P69" i="129"/>
  <c r="N69" i="129" s="1"/>
  <c r="K69" i="129"/>
  <c r="Q69" i="129" s="1"/>
  <c r="Q109" i="154"/>
  <c r="K109" i="154"/>
  <c r="L21" i="159"/>
  <c r="L26" i="159" s="1"/>
  <c r="U43" i="147"/>
  <c r="V26" i="147"/>
  <c r="T171" i="147"/>
  <c r="T98" i="147"/>
  <c r="T25" i="147"/>
  <c r="F15" i="147"/>
  <c r="F11" i="147"/>
  <c r="I11" i="147"/>
  <c r="I15" i="147"/>
  <c r="T43" i="147"/>
  <c r="T26" i="147"/>
  <c r="T11" i="147"/>
  <c r="T15" i="147"/>
  <c r="S43" i="147"/>
  <c r="S26" i="147"/>
  <c r="J170" i="147"/>
  <c r="J24" i="147"/>
  <c r="J97" i="147"/>
  <c r="M97" i="147"/>
  <c r="M170" i="147"/>
  <c r="M24" i="147"/>
  <c r="Q11" i="147"/>
  <c r="Q15" i="147"/>
  <c r="G95" i="147"/>
  <c r="G22" i="147"/>
  <c r="G168" i="147"/>
  <c r="K25" i="147"/>
  <c r="K171" i="147"/>
  <c r="K98" i="147"/>
  <c r="L95" i="147"/>
  <c r="L22" i="147"/>
  <c r="L168" i="147"/>
  <c r="T23" i="147"/>
  <c r="T96" i="147"/>
  <c r="T169" i="147"/>
  <c r="C98" i="147"/>
  <c r="C25" i="147"/>
  <c r="N168" i="147"/>
  <c r="N22" i="147"/>
  <c r="N95" i="147"/>
  <c r="N171" i="147"/>
  <c r="N98" i="147"/>
  <c r="N25" i="147"/>
  <c r="D97" i="147"/>
  <c r="D24" i="147"/>
  <c r="D170" i="147"/>
  <c r="C15" i="147"/>
  <c r="C11" i="147"/>
  <c r="S24" i="147"/>
  <c r="S170" i="147"/>
  <c r="S97" i="147"/>
  <c r="E23" i="147"/>
  <c r="E169" i="147"/>
  <c r="E96" i="147"/>
  <c r="F168" i="147"/>
  <c r="F95" i="147"/>
  <c r="F22" i="147"/>
  <c r="V25" i="147"/>
  <c r="V98" i="147"/>
  <c r="V171" i="147"/>
  <c r="R98" i="147"/>
  <c r="R171" i="147"/>
  <c r="R25" i="147"/>
  <c r="D96" i="147"/>
  <c r="D169" i="147"/>
  <c r="D23" i="147"/>
  <c r="Q98" i="147"/>
  <c r="Q171" i="147"/>
  <c r="Q25" i="147"/>
  <c r="M171" i="147"/>
  <c r="M98" i="147"/>
  <c r="M25" i="147"/>
  <c r="K24" i="147"/>
  <c r="K97" i="147"/>
  <c r="K170" i="147"/>
  <c r="R169" i="147"/>
  <c r="R23" i="147"/>
  <c r="R96" i="147"/>
  <c r="K22" i="147"/>
  <c r="K168" i="147"/>
  <c r="K95" i="147"/>
  <c r="J15" i="147"/>
  <c r="J11" i="147"/>
  <c r="C24" i="147"/>
  <c r="C97" i="147"/>
  <c r="V96" i="147"/>
  <c r="V169" i="147"/>
  <c r="V23" i="147"/>
  <c r="S11" i="147"/>
  <c r="S15" i="147"/>
  <c r="O11" i="147"/>
  <c r="O15" i="147"/>
  <c r="F98" i="147"/>
  <c r="F25" i="147"/>
  <c r="F171" i="147"/>
  <c r="O168" i="147"/>
  <c r="O95" i="147"/>
  <c r="O22" i="147"/>
  <c r="K15" i="147"/>
  <c r="K11" i="147"/>
  <c r="N11" i="147"/>
  <c r="N15" i="147"/>
  <c r="P43" i="147"/>
  <c r="I24" i="147"/>
  <c r="I170" i="147"/>
  <c r="I97" i="147"/>
  <c r="E168" i="147"/>
  <c r="E22" i="147"/>
  <c r="E95" i="147"/>
  <c r="T22" i="147"/>
  <c r="T95" i="147"/>
  <c r="T168" i="147"/>
  <c r="J98" i="147"/>
  <c r="J25" i="147"/>
  <c r="J171" i="147"/>
  <c r="Q170" i="147"/>
  <c r="Q97" i="147"/>
  <c r="Q24" i="147"/>
  <c r="J168" i="147"/>
  <c r="J95" i="147"/>
  <c r="J22" i="147"/>
  <c r="H43" i="147"/>
  <c r="H26" i="147"/>
  <c r="O23" i="147"/>
  <c r="O169" i="147"/>
  <c r="O96" i="147"/>
  <c r="P98" i="147"/>
  <c r="P25" i="147"/>
  <c r="P171" i="147"/>
  <c r="V22" i="147"/>
  <c r="V95" i="147"/>
  <c r="V168" i="147"/>
  <c r="D22" i="147"/>
  <c r="D168" i="147"/>
  <c r="D95" i="147"/>
  <c r="M168" i="147"/>
  <c r="M95" i="147"/>
  <c r="M22" i="147"/>
  <c r="U22" i="147"/>
  <c r="U95" i="147"/>
  <c r="U168" i="147"/>
  <c r="E15" i="147"/>
  <c r="E11" i="147"/>
  <c r="N97" i="147"/>
  <c r="N170" i="147"/>
  <c r="N24" i="147"/>
  <c r="F97" i="147"/>
  <c r="F170" i="147"/>
  <c r="F24" i="147"/>
  <c r="I96" i="147"/>
  <c r="I169" i="147"/>
  <c r="I23" i="147"/>
  <c r="H96" i="147"/>
  <c r="H23" i="147"/>
  <c r="H169" i="147"/>
  <c r="G96" i="147"/>
  <c r="G23" i="147"/>
  <c r="G169" i="147"/>
  <c r="D11" i="147"/>
  <c r="D15" i="147"/>
  <c r="L15" i="147"/>
  <c r="L11" i="147"/>
  <c r="R43" i="147"/>
  <c r="R26" i="147"/>
  <c r="R11" i="147"/>
  <c r="R15" i="147"/>
  <c r="K96" i="147"/>
  <c r="K169" i="147"/>
  <c r="K23" i="147"/>
  <c r="E98" i="147"/>
  <c r="E25" i="147"/>
  <c r="E171" i="147"/>
  <c r="S22" i="147"/>
  <c r="S168" i="147"/>
  <c r="S95" i="147"/>
  <c r="L170" i="147"/>
  <c r="L24" i="147"/>
  <c r="L97" i="147"/>
  <c r="N23" i="147"/>
  <c r="N96" i="147"/>
  <c r="N169" i="147"/>
  <c r="G97" i="147"/>
  <c r="G24" i="147"/>
  <c r="G170" i="147"/>
  <c r="U15" i="147"/>
  <c r="U11" i="147"/>
  <c r="G15" i="147"/>
  <c r="G11" i="147"/>
  <c r="O171" i="147"/>
  <c r="O25" i="147"/>
  <c r="O98" i="147"/>
  <c r="L171" i="147"/>
  <c r="L98" i="147"/>
  <c r="L25" i="147"/>
  <c r="I171" i="147"/>
  <c r="I25" i="147"/>
  <c r="I98" i="147"/>
  <c r="H25" i="147"/>
  <c r="H98" i="147"/>
  <c r="H171" i="147"/>
  <c r="H15" i="147"/>
  <c r="H11" i="147"/>
  <c r="J96" i="147"/>
  <c r="J23" i="147"/>
  <c r="J169" i="147"/>
  <c r="H24" i="147"/>
  <c r="H170" i="147"/>
  <c r="H97" i="147"/>
  <c r="H22" i="147"/>
  <c r="H95" i="147"/>
  <c r="H168" i="147"/>
  <c r="E97" i="147"/>
  <c r="E24" i="147"/>
  <c r="E170" i="147"/>
  <c r="U96" i="147"/>
  <c r="U23" i="147"/>
  <c r="U169" i="147"/>
  <c r="P15" i="147"/>
  <c r="P11" i="147"/>
  <c r="Q95" i="147"/>
  <c r="Q168" i="147"/>
  <c r="Q22" i="147"/>
  <c r="G98" i="147"/>
  <c r="G171" i="147"/>
  <c r="G25" i="147"/>
  <c r="V24" i="147"/>
  <c r="V97" i="147"/>
  <c r="V170" i="147"/>
  <c r="C22" i="147"/>
  <c r="C95" i="147"/>
  <c r="P23" i="147"/>
  <c r="P169" i="147"/>
  <c r="P96" i="147"/>
  <c r="F169" i="147"/>
  <c r="F23" i="147"/>
  <c r="F96" i="147"/>
  <c r="C23" i="147"/>
  <c r="C96" i="147"/>
  <c r="Q26" i="147"/>
  <c r="Q43" i="147"/>
  <c r="U170" i="147"/>
  <c r="U24" i="147"/>
  <c r="U97" i="147"/>
  <c r="D25" i="147"/>
  <c r="D98" i="147"/>
  <c r="D171" i="147"/>
  <c r="M96" i="147"/>
  <c r="M169" i="147"/>
  <c r="M23" i="147"/>
  <c r="P170" i="147"/>
  <c r="P97" i="147"/>
  <c r="P24" i="147"/>
  <c r="M15" i="147"/>
  <c r="M11" i="147"/>
  <c r="V219" i="134"/>
  <c r="U219" i="134"/>
  <c r="T219" i="134"/>
  <c r="S219" i="134"/>
  <c r="R219" i="134"/>
  <c r="Q219" i="134"/>
  <c r="P219" i="134"/>
  <c r="O219" i="134"/>
  <c r="N219" i="134"/>
  <c r="M219" i="134"/>
  <c r="L219" i="134"/>
  <c r="K219" i="134"/>
  <c r="J219" i="134"/>
  <c r="I219" i="134"/>
  <c r="H219" i="134"/>
  <c r="G219" i="134"/>
  <c r="F219" i="134"/>
  <c r="E219" i="134"/>
  <c r="D219" i="134"/>
  <c r="C219" i="134"/>
  <c r="V140" i="134"/>
  <c r="U140" i="134"/>
  <c r="T140" i="134"/>
  <c r="S140" i="134"/>
  <c r="R140" i="134"/>
  <c r="Q140" i="134"/>
  <c r="P140" i="134"/>
  <c r="O140" i="134"/>
  <c r="N140" i="134"/>
  <c r="M140" i="134"/>
  <c r="L140" i="134"/>
  <c r="K140" i="134"/>
  <c r="J140" i="134"/>
  <c r="I140" i="134"/>
  <c r="H140" i="134"/>
  <c r="G140" i="134"/>
  <c r="F140" i="134"/>
  <c r="E140" i="134"/>
  <c r="D140" i="134"/>
  <c r="C140" i="134"/>
  <c r="D61" i="134"/>
  <c r="E61" i="134"/>
  <c r="F61" i="134"/>
  <c r="G61" i="134"/>
  <c r="H61" i="134"/>
  <c r="I61" i="134"/>
  <c r="J61" i="134"/>
  <c r="K61" i="134"/>
  <c r="L61" i="134"/>
  <c r="M61" i="134"/>
  <c r="N61" i="134"/>
  <c r="O61" i="134"/>
  <c r="P61" i="134"/>
  <c r="Q61" i="134"/>
  <c r="R61" i="134"/>
  <c r="S61" i="134"/>
  <c r="T61" i="134"/>
  <c r="U61" i="134"/>
  <c r="V61" i="134"/>
  <c r="C61" i="134"/>
  <c r="F230" i="138"/>
  <c r="K152" i="138"/>
  <c r="J152" i="138"/>
  <c r="I152" i="138"/>
  <c r="D74" i="138"/>
  <c r="E74" i="138"/>
  <c r="F74" i="138"/>
  <c r="G74" i="138"/>
  <c r="H74" i="138"/>
  <c r="I74" i="138"/>
  <c r="J74" i="138"/>
  <c r="K74" i="138"/>
  <c r="L74" i="138"/>
  <c r="M74" i="138"/>
  <c r="N74" i="138"/>
  <c r="O74" i="138"/>
  <c r="P74" i="138"/>
  <c r="Q74" i="138"/>
  <c r="R74" i="138"/>
  <c r="S74" i="138"/>
  <c r="T74" i="138"/>
  <c r="U74" i="138"/>
  <c r="V74" i="138"/>
  <c r="C74" i="138"/>
  <c r="A206" i="138"/>
  <c r="A207" i="138"/>
  <c r="A208" i="138"/>
  <c r="A209" i="138"/>
  <c r="A210" i="138"/>
  <c r="A211" i="138"/>
  <c r="A212" i="138"/>
  <c r="A205" i="138"/>
  <c r="C159" i="138"/>
  <c r="C148" i="147" s="1"/>
  <c r="D159" i="138"/>
  <c r="E159" i="138"/>
  <c r="F159" i="138"/>
  <c r="G159" i="138"/>
  <c r="H159" i="138"/>
  <c r="I159" i="138"/>
  <c r="J159" i="138"/>
  <c r="K159" i="138"/>
  <c r="L159" i="138"/>
  <c r="M159" i="138"/>
  <c r="N159" i="138"/>
  <c r="O159" i="138"/>
  <c r="P159" i="138"/>
  <c r="Q159" i="138"/>
  <c r="R159" i="138"/>
  <c r="S159" i="138"/>
  <c r="T159" i="138"/>
  <c r="U159" i="138"/>
  <c r="V159" i="138"/>
  <c r="C160" i="138"/>
  <c r="C149" i="147" s="1"/>
  <c r="D160" i="138"/>
  <c r="E160" i="138"/>
  <c r="F160" i="138"/>
  <c r="G160" i="138"/>
  <c r="H160" i="138"/>
  <c r="I160" i="138"/>
  <c r="J160" i="138"/>
  <c r="K160" i="138"/>
  <c r="L160" i="138"/>
  <c r="M160" i="138"/>
  <c r="N160" i="138"/>
  <c r="O160" i="138"/>
  <c r="P160" i="138"/>
  <c r="Q160" i="138"/>
  <c r="R160" i="138"/>
  <c r="S160" i="138"/>
  <c r="T160" i="138"/>
  <c r="U160" i="138"/>
  <c r="V160" i="138"/>
  <c r="C161" i="138"/>
  <c r="D161" i="138"/>
  <c r="E161" i="138"/>
  <c r="F161" i="138"/>
  <c r="G161" i="138"/>
  <c r="H161" i="138"/>
  <c r="I161" i="138"/>
  <c r="J161" i="138"/>
  <c r="K161" i="138"/>
  <c r="L161" i="138"/>
  <c r="M161" i="138"/>
  <c r="N161" i="138"/>
  <c r="O161" i="138"/>
  <c r="P161" i="138"/>
  <c r="Q161" i="138"/>
  <c r="R161" i="138"/>
  <c r="S161" i="138"/>
  <c r="T161" i="138"/>
  <c r="U161" i="138"/>
  <c r="V161" i="138"/>
  <c r="C162" i="138"/>
  <c r="C150" i="147" s="1"/>
  <c r="D162" i="138"/>
  <c r="E162" i="138"/>
  <c r="F162" i="138"/>
  <c r="G162" i="138"/>
  <c r="H162" i="138"/>
  <c r="I162" i="138"/>
  <c r="J162" i="138"/>
  <c r="K162" i="138"/>
  <c r="L162" i="138"/>
  <c r="M162" i="138"/>
  <c r="N162" i="138"/>
  <c r="O162" i="138"/>
  <c r="P162" i="138"/>
  <c r="Q162" i="138"/>
  <c r="R162" i="138"/>
  <c r="S162" i="138"/>
  <c r="T162" i="138"/>
  <c r="U162" i="138"/>
  <c r="V162" i="138"/>
  <c r="C163" i="138"/>
  <c r="C151" i="147" s="1"/>
  <c r="D163" i="138"/>
  <c r="E163" i="138"/>
  <c r="F163" i="138"/>
  <c r="G163" i="138"/>
  <c r="H163" i="138"/>
  <c r="I163" i="138"/>
  <c r="J163" i="138"/>
  <c r="K163" i="138"/>
  <c r="L163" i="138"/>
  <c r="M163" i="138"/>
  <c r="N163" i="138"/>
  <c r="O163" i="138"/>
  <c r="P163" i="138"/>
  <c r="Q163" i="138"/>
  <c r="R163" i="138"/>
  <c r="S163" i="138"/>
  <c r="T163" i="138"/>
  <c r="U163" i="138"/>
  <c r="V163" i="138"/>
  <c r="C164" i="138"/>
  <c r="C152" i="147" s="1"/>
  <c r="D164" i="138"/>
  <c r="E164" i="138"/>
  <c r="F164" i="138"/>
  <c r="G164" i="138"/>
  <c r="H164" i="138"/>
  <c r="I164" i="138"/>
  <c r="J164" i="138"/>
  <c r="K164" i="138"/>
  <c r="L164" i="138"/>
  <c r="M164" i="138"/>
  <c r="N164" i="138"/>
  <c r="O164" i="138"/>
  <c r="P164" i="138"/>
  <c r="Q164" i="138"/>
  <c r="R164" i="138"/>
  <c r="S164" i="138"/>
  <c r="T164" i="138"/>
  <c r="U164" i="138"/>
  <c r="V164" i="138"/>
  <c r="C165" i="138"/>
  <c r="D165" i="138"/>
  <c r="E165" i="138"/>
  <c r="F165" i="138"/>
  <c r="G165" i="138"/>
  <c r="H165" i="138"/>
  <c r="I165" i="138"/>
  <c r="J165" i="138"/>
  <c r="K165" i="138"/>
  <c r="L165" i="138"/>
  <c r="M165" i="138"/>
  <c r="N165" i="138"/>
  <c r="O165" i="138"/>
  <c r="P165" i="138"/>
  <c r="Q165" i="138"/>
  <c r="R165" i="138"/>
  <c r="S165" i="138"/>
  <c r="T165" i="138"/>
  <c r="U165" i="138"/>
  <c r="V165" i="138"/>
  <c r="C166" i="138"/>
  <c r="C177" i="147" s="1"/>
  <c r="D166" i="138"/>
  <c r="E166" i="138"/>
  <c r="F166" i="138"/>
  <c r="G166" i="138"/>
  <c r="H166" i="138"/>
  <c r="I166" i="138"/>
  <c r="J166" i="138"/>
  <c r="K166" i="138"/>
  <c r="L166" i="138"/>
  <c r="M166" i="138"/>
  <c r="N166" i="138"/>
  <c r="O166" i="138"/>
  <c r="P166" i="138"/>
  <c r="Q166" i="138"/>
  <c r="R166" i="138"/>
  <c r="S166" i="138"/>
  <c r="T166" i="138"/>
  <c r="U166" i="138"/>
  <c r="V166" i="138"/>
  <c r="C167" i="138"/>
  <c r="C153" i="147" s="1"/>
  <c r="D167" i="138"/>
  <c r="E167" i="138"/>
  <c r="F167" i="138"/>
  <c r="G167" i="138"/>
  <c r="H167" i="138"/>
  <c r="I167" i="138"/>
  <c r="J167" i="138"/>
  <c r="K167" i="138"/>
  <c r="L167" i="138"/>
  <c r="M167" i="138"/>
  <c r="N167" i="138"/>
  <c r="O167" i="138"/>
  <c r="P167" i="138"/>
  <c r="Q167" i="138"/>
  <c r="R167" i="138"/>
  <c r="S167" i="138"/>
  <c r="T167" i="138"/>
  <c r="U167" i="138"/>
  <c r="V167" i="138"/>
  <c r="C168" i="138"/>
  <c r="C154" i="147" s="1"/>
  <c r="D168" i="138"/>
  <c r="E168" i="138"/>
  <c r="F168" i="138"/>
  <c r="G168" i="138"/>
  <c r="H168" i="138"/>
  <c r="I168" i="138"/>
  <c r="J168" i="138"/>
  <c r="K168" i="138"/>
  <c r="L168" i="138"/>
  <c r="M168" i="138"/>
  <c r="N168" i="138"/>
  <c r="O168" i="138"/>
  <c r="P168" i="138"/>
  <c r="Q168" i="138"/>
  <c r="R168" i="138"/>
  <c r="S168" i="138"/>
  <c r="T168" i="138"/>
  <c r="U168" i="138"/>
  <c r="V168" i="138"/>
  <c r="C169" i="138"/>
  <c r="D169" i="138"/>
  <c r="E169" i="138"/>
  <c r="F169" i="138"/>
  <c r="G169" i="138"/>
  <c r="H169" i="138"/>
  <c r="I169" i="138"/>
  <c r="J169" i="138"/>
  <c r="K169" i="138"/>
  <c r="L169" i="138"/>
  <c r="M169" i="138"/>
  <c r="N169" i="138"/>
  <c r="O169" i="138"/>
  <c r="P169" i="138"/>
  <c r="Q169" i="138"/>
  <c r="R169" i="138"/>
  <c r="S169" i="138"/>
  <c r="T169" i="138"/>
  <c r="U169" i="138"/>
  <c r="V169" i="138"/>
  <c r="C170" i="138"/>
  <c r="C155" i="147" s="1"/>
  <c r="D170" i="138"/>
  <c r="E170" i="138"/>
  <c r="F170" i="138"/>
  <c r="G170" i="138"/>
  <c r="H170" i="138"/>
  <c r="I170" i="138"/>
  <c r="J170" i="138"/>
  <c r="K170" i="138"/>
  <c r="L170" i="138"/>
  <c r="M170" i="138"/>
  <c r="N170" i="138"/>
  <c r="O170" i="138"/>
  <c r="P170" i="138"/>
  <c r="Q170" i="138"/>
  <c r="R170" i="138"/>
  <c r="S170" i="138"/>
  <c r="T170" i="138"/>
  <c r="U170" i="138"/>
  <c r="V170" i="138"/>
  <c r="C171" i="138"/>
  <c r="D171" i="138"/>
  <c r="E171" i="138"/>
  <c r="F171" i="138"/>
  <c r="G171" i="138"/>
  <c r="H171" i="138"/>
  <c r="I171" i="138"/>
  <c r="J171" i="138"/>
  <c r="K171" i="138"/>
  <c r="L171" i="138"/>
  <c r="M171" i="138"/>
  <c r="N171" i="138"/>
  <c r="O171" i="138"/>
  <c r="P171" i="138"/>
  <c r="Q171" i="138"/>
  <c r="R171" i="138"/>
  <c r="S171" i="138"/>
  <c r="T171" i="138"/>
  <c r="U171" i="138"/>
  <c r="V171" i="138"/>
  <c r="C172" i="138"/>
  <c r="D172" i="138"/>
  <c r="E172" i="138"/>
  <c r="F172" i="138"/>
  <c r="G172" i="138"/>
  <c r="H172" i="138"/>
  <c r="I172" i="138"/>
  <c r="J172" i="138"/>
  <c r="K172" i="138"/>
  <c r="L172" i="138"/>
  <c r="M172" i="138"/>
  <c r="N172" i="138"/>
  <c r="O172" i="138"/>
  <c r="P172" i="138"/>
  <c r="Q172" i="138"/>
  <c r="R172" i="138"/>
  <c r="S172" i="138"/>
  <c r="T172" i="138"/>
  <c r="U172" i="138"/>
  <c r="V172" i="138"/>
  <c r="C173" i="138"/>
  <c r="D173" i="138"/>
  <c r="E173" i="138"/>
  <c r="F173" i="138"/>
  <c r="G173" i="138"/>
  <c r="H173" i="138"/>
  <c r="I173" i="138"/>
  <c r="J173" i="138"/>
  <c r="K173" i="138"/>
  <c r="L173" i="138"/>
  <c r="M173" i="138"/>
  <c r="N173" i="138"/>
  <c r="O173" i="138"/>
  <c r="P173" i="138"/>
  <c r="Q173" i="138"/>
  <c r="R173" i="138"/>
  <c r="S173" i="138"/>
  <c r="T173" i="138"/>
  <c r="U173" i="138"/>
  <c r="V173" i="138"/>
  <c r="C174" i="138"/>
  <c r="D174" i="138"/>
  <c r="E174" i="138"/>
  <c r="F174" i="138"/>
  <c r="G174" i="138"/>
  <c r="H174" i="138"/>
  <c r="I174" i="138"/>
  <c r="J174" i="138"/>
  <c r="K174" i="138"/>
  <c r="L174" i="138"/>
  <c r="M174" i="138"/>
  <c r="N174" i="138"/>
  <c r="O174" i="138"/>
  <c r="P174" i="138"/>
  <c r="Q174" i="138"/>
  <c r="R174" i="138"/>
  <c r="S174" i="138"/>
  <c r="T174" i="138"/>
  <c r="U174" i="138"/>
  <c r="V174" i="138"/>
  <c r="C175" i="138"/>
  <c r="C156" i="147" s="1"/>
  <c r="D175" i="138"/>
  <c r="E175" i="138"/>
  <c r="F175" i="138"/>
  <c r="G175" i="138"/>
  <c r="H175" i="138"/>
  <c r="I175" i="138"/>
  <c r="J175" i="138"/>
  <c r="K175" i="138"/>
  <c r="L175" i="138"/>
  <c r="M175" i="138"/>
  <c r="N175" i="138"/>
  <c r="O175" i="138"/>
  <c r="P175" i="138"/>
  <c r="Q175" i="138"/>
  <c r="R175" i="138"/>
  <c r="S175" i="138"/>
  <c r="T175" i="138"/>
  <c r="U175" i="138"/>
  <c r="V175" i="138"/>
  <c r="C176" i="138"/>
  <c r="C157" i="147" s="1"/>
  <c r="D176" i="138"/>
  <c r="E176" i="138"/>
  <c r="F176" i="138"/>
  <c r="G176" i="138"/>
  <c r="H176" i="138"/>
  <c r="I176" i="138"/>
  <c r="J176" i="138"/>
  <c r="K176" i="138"/>
  <c r="L176" i="138"/>
  <c r="M176" i="138"/>
  <c r="N176" i="138"/>
  <c r="O176" i="138"/>
  <c r="P176" i="138"/>
  <c r="Q176" i="138"/>
  <c r="R176" i="138"/>
  <c r="S176" i="138"/>
  <c r="T176" i="138"/>
  <c r="U176" i="138"/>
  <c r="V176" i="138"/>
  <c r="C177" i="138"/>
  <c r="C161" i="147" s="1"/>
  <c r="D177" i="138"/>
  <c r="E177" i="138"/>
  <c r="F177" i="138"/>
  <c r="G177" i="138"/>
  <c r="H177" i="138"/>
  <c r="I177" i="138"/>
  <c r="J177" i="138"/>
  <c r="K177" i="138"/>
  <c r="L177" i="138"/>
  <c r="M177" i="138"/>
  <c r="N177" i="138"/>
  <c r="O177" i="138"/>
  <c r="P177" i="138"/>
  <c r="Q177" i="138"/>
  <c r="R177" i="138"/>
  <c r="S177" i="138"/>
  <c r="T177" i="138"/>
  <c r="U177" i="138"/>
  <c r="V177" i="138"/>
  <c r="C178" i="138"/>
  <c r="C158" i="147" s="1"/>
  <c r="D178" i="138"/>
  <c r="E178" i="138"/>
  <c r="F178" i="138"/>
  <c r="G178" i="138"/>
  <c r="H178" i="138"/>
  <c r="I178" i="138"/>
  <c r="J178" i="138"/>
  <c r="K178" i="138"/>
  <c r="L178" i="138"/>
  <c r="M178" i="138"/>
  <c r="N178" i="138"/>
  <c r="O178" i="138"/>
  <c r="P178" i="138"/>
  <c r="Q178" i="138"/>
  <c r="R178" i="138"/>
  <c r="S178" i="138"/>
  <c r="T178" i="138"/>
  <c r="U178" i="138"/>
  <c r="V178" i="138"/>
  <c r="C179" i="138"/>
  <c r="C159" i="147" s="1"/>
  <c r="D179" i="138"/>
  <c r="E179" i="138"/>
  <c r="F179" i="138"/>
  <c r="G179" i="138"/>
  <c r="H179" i="138"/>
  <c r="I179" i="138"/>
  <c r="J179" i="138"/>
  <c r="K179" i="138"/>
  <c r="L179" i="138"/>
  <c r="M179" i="138"/>
  <c r="N179" i="138"/>
  <c r="O179" i="138"/>
  <c r="P179" i="138"/>
  <c r="Q179" i="138"/>
  <c r="R179" i="138"/>
  <c r="S179" i="138"/>
  <c r="T179" i="138"/>
  <c r="U179" i="138"/>
  <c r="V179" i="138"/>
  <c r="C180" i="138"/>
  <c r="C160" i="147" s="1"/>
  <c r="D180" i="138"/>
  <c r="E180" i="138"/>
  <c r="F180" i="138"/>
  <c r="G180" i="138"/>
  <c r="H180" i="138"/>
  <c r="I180" i="138"/>
  <c r="J180" i="138"/>
  <c r="K180" i="138"/>
  <c r="L180" i="138"/>
  <c r="M180" i="138"/>
  <c r="N180" i="138"/>
  <c r="O180" i="138"/>
  <c r="P180" i="138"/>
  <c r="Q180" i="138"/>
  <c r="R180" i="138"/>
  <c r="S180" i="138"/>
  <c r="T180" i="138"/>
  <c r="U180" i="138"/>
  <c r="V180" i="138"/>
  <c r="C181" i="138"/>
  <c r="C162" i="147" s="1"/>
  <c r="D181" i="138"/>
  <c r="E181" i="138"/>
  <c r="F181" i="138"/>
  <c r="G181" i="138"/>
  <c r="H181" i="138"/>
  <c r="I181" i="138"/>
  <c r="J181" i="138"/>
  <c r="K181" i="138"/>
  <c r="L181" i="138"/>
  <c r="M181" i="138"/>
  <c r="N181" i="138"/>
  <c r="O181" i="138"/>
  <c r="P181" i="138"/>
  <c r="Q181" i="138"/>
  <c r="R181" i="138"/>
  <c r="S181" i="138"/>
  <c r="T181" i="138"/>
  <c r="U181" i="138"/>
  <c r="V181" i="138"/>
  <c r="C182" i="138"/>
  <c r="C163" i="147" s="1"/>
  <c r="D182" i="138"/>
  <c r="E182" i="138"/>
  <c r="F182" i="138"/>
  <c r="G182" i="138"/>
  <c r="H182" i="138"/>
  <c r="I182" i="138"/>
  <c r="J182" i="138"/>
  <c r="K182" i="138"/>
  <c r="L182" i="138"/>
  <c r="M182" i="138"/>
  <c r="N182" i="138"/>
  <c r="O182" i="138"/>
  <c r="P182" i="138"/>
  <c r="Q182" i="138"/>
  <c r="R182" i="138"/>
  <c r="S182" i="138"/>
  <c r="T182" i="138"/>
  <c r="U182" i="138"/>
  <c r="V182" i="138"/>
  <c r="C183" i="138"/>
  <c r="C164" i="147" s="1"/>
  <c r="D183" i="138"/>
  <c r="E183" i="138"/>
  <c r="F183" i="138"/>
  <c r="G183" i="138"/>
  <c r="H183" i="138"/>
  <c r="I183" i="138"/>
  <c r="J183" i="138"/>
  <c r="K183" i="138"/>
  <c r="L183" i="138"/>
  <c r="M183" i="138"/>
  <c r="N183" i="138"/>
  <c r="O183" i="138"/>
  <c r="P183" i="138"/>
  <c r="Q183" i="138"/>
  <c r="R183" i="138"/>
  <c r="S183" i="138"/>
  <c r="T183" i="138"/>
  <c r="U183" i="138"/>
  <c r="V183" i="138"/>
  <c r="C184" i="138"/>
  <c r="C165" i="147" s="1"/>
  <c r="D184" i="138"/>
  <c r="E184" i="138"/>
  <c r="F184" i="138"/>
  <c r="G184" i="138"/>
  <c r="H184" i="138"/>
  <c r="I184" i="138"/>
  <c r="J184" i="138"/>
  <c r="K184" i="138"/>
  <c r="L184" i="138"/>
  <c r="M184" i="138"/>
  <c r="N184" i="138"/>
  <c r="O184" i="138"/>
  <c r="P184" i="138"/>
  <c r="Q184" i="138"/>
  <c r="R184" i="138"/>
  <c r="S184" i="138"/>
  <c r="T184" i="138"/>
  <c r="U184" i="138"/>
  <c r="V184" i="138"/>
  <c r="C185" i="138"/>
  <c r="C166" i="147" s="1"/>
  <c r="D185" i="138"/>
  <c r="E185" i="138"/>
  <c r="F185" i="138"/>
  <c r="G185" i="138"/>
  <c r="H185" i="138"/>
  <c r="I185" i="138"/>
  <c r="J185" i="138"/>
  <c r="K185" i="138"/>
  <c r="L185" i="138"/>
  <c r="M185" i="138"/>
  <c r="N185" i="138"/>
  <c r="O185" i="138"/>
  <c r="P185" i="138"/>
  <c r="Q185" i="138"/>
  <c r="R185" i="138"/>
  <c r="S185" i="138"/>
  <c r="T185" i="138"/>
  <c r="U185" i="138"/>
  <c r="V185" i="138"/>
  <c r="C186" i="138"/>
  <c r="C167" i="147" s="1"/>
  <c r="D186" i="138"/>
  <c r="E186" i="138"/>
  <c r="F186" i="138"/>
  <c r="G186" i="138"/>
  <c r="H186" i="138"/>
  <c r="I186" i="138"/>
  <c r="J186" i="138"/>
  <c r="K186" i="138"/>
  <c r="L186" i="138"/>
  <c r="M186" i="138"/>
  <c r="N186" i="138"/>
  <c r="O186" i="138"/>
  <c r="P186" i="138"/>
  <c r="Q186" i="138"/>
  <c r="R186" i="138"/>
  <c r="S186" i="138"/>
  <c r="T186" i="138"/>
  <c r="U186" i="138"/>
  <c r="V186" i="138"/>
  <c r="C187" i="138"/>
  <c r="D187" i="138"/>
  <c r="E187" i="138"/>
  <c r="F187" i="138"/>
  <c r="G187" i="138"/>
  <c r="H187" i="138"/>
  <c r="I187" i="138"/>
  <c r="J187" i="138"/>
  <c r="K187" i="138"/>
  <c r="L187" i="138"/>
  <c r="M187" i="138"/>
  <c r="N187" i="138"/>
  <c r="O187" i="138"/>
  <c r="P187" i="138"/>
  <c r="Q187" i="138"/>
  <c r="R187" i="138"/>
  <c r="S187" i="138"/>
  <c r="T187" i="138"/>
  <c r="U187" i="138"/>
  <c r="V187" i="138"/>
  <c r="C188" i="138"/>
  <c r="C172" i="147" s="1"/>
  <c r="D188" i="138"/>
  <c r="E188" i="138"/>
  <c r="F188" i="138"/>
  <c r="G188" i="138"/>
  <c r="H188" i="138"/>
  <c r="I188" i="138"/>
  <c r="J188" i="138"/>
  <c r="K188" i="138"/>
  <c r="L188" i="138"/>
  <c r="M188" i="138"/>
  <c r="N188" i="138"/>
  <c r="O188" i="138"/>
  <c r="P188" i="138"/>
  <c r="Q188" i="138"/>
  <c r="R188" i="138"/>
  <c r="S188" i="138"/>
  <c r="T188" i="138"/>
  <c r="U188" i="138"/>
  <c r="V188" i="138"/>
  <c r="C189" i="138"/>
  <c r="C189" i="147" s="1"/>
  <c r="D189" i="138"/>
  <c r="E189" i="138"/>
  <c r="F189" i="138"/>
  <c r="G189" i="138"/>
  <c r="H189" i="138"/>
  <c r="I189" i="138"/>
  <c r="J189" i="138"/>
  <c r="K189" i="138"/>
  <c r="L189" i="138"/>
  <c r="M189" i="138"/>
  <c r="N189" i="138"/>
  <c r="O189" i="138"/>
  <c r="P189" i="138"/>
  <c r="Q189" i="138"/>
  <c r="R189" i="138"/>
  <c r="S189" i="138"/>
  <c r="T189" i="138"/>
  <c r="U189" i="138"/>
  <c r="V189" i="138"/>
  <c r="C190" i="138"/>
  <c r="C173" i="147" s="1"/>
  <c r="D190" i="138"/>
  <c r="E190" i="138"/>
  <c r="F190" i="138"/>
  <c r="G190" i="138"/>
  <c r="H190" i="138"/>
  <c r="I190" i="138"/>
  <c r="J190" i="138"/>
  <c r="K190" i="138"/>
  <c r="L190" i="138"/>
  <c r="M190" i="138"/>
  <c r="N190" i="138"/>
  <c r="O190" i="138"/>
  <c r="P190" i="138"/>
  <c r="Q190" i="138"/>
  <c r="R190" i="138"/>
  <c r="S190" i="138"/>
  <c r="T190" i="138"/>
  <c r="U190" i="138"/>
  <c r="V190" i="138"/>
  <c r="C191" i="138"/>
  <c r="C174" i="147" s="1"/>
  <c r="D191" i="138"/>
  <c r="E191" i="138"/>
  <c r="F191" i="138"/>
  <c r="G191" i="138"/>
  <c r="H191" i="138"/>
  <c r="I191" i="138"/>
  <c r="J191" i="138"/>
  <c r="K191" i="138"/>
  <c r="L191" i="138"/>
  <c r="M191" i="138"/>
  <c r="N191" i="138"/>
  <c r="O191" i="138"/>
  <c r="P191" i="138"/>
  <c r="Q191" i="138"/>
  <c r="R191" i="138"/>
  <c r="S191" i="138"/>
  <c r="T191" i="138"/>
  <c r="U191" i="138"/>
  <c r="V191" i="138"/>
  <c r="C192" i="138"/>
  <c r="C175" i="147" s="1"/>
  <c r="D192" i="138"/>
  <c r="E192" i="138"/>
  <c r="F192" i="138"/>
  <c r="G192" i="138"/>
  <c r="H192" i="138"/>
  <c r="I192" i="138"/>
  <c r="J192" i="138"/>
  <c r="K192" i="138"/>
  <c r="L192" i="138"/>
  <c r="M192" i="138"/>
  <c r="N192" i="138"/>
  <c r="O192" i="138"/>
  <c r="P192" i="138"/>
  <c r="Q192" i="138"/>
  <c r="R192" i="138"/>
  <c r="S192" i="138"/>
  <c r="T192" i="138"/>
  <c r="U192" i="138"/>
  <c r="V192" i="138"/>
  <c r="C193" i="138"/>
  <c r="C176" i="147" s="1"/>
  <c r="D193" i="138"/>
  <c r="E193" i="138"/>
  <c r="F193" i="138"/>
  <c r="G193" i="138"/>
  <c r="H193" i="138"/>
  <c r="I193" i="138"/>
  <c r="J193" i="138"/>
  <c r="K193" i="138"/>
  <c r="L193" i="138"/>
  <c r="M193" i="138"/>
  <c r="N193" i="138"/>
  <c r="O193" i="138"/>
  <c r="P193" i="138"/>
  <c r="Q193" i="138"/>
  <c r="R193" i="138"/>
  <c r="S193" i="138"/>
  <c r="T193" i="138"/>
  <c r="U193" i="138"/>
  <c r="V193" i="138"/>
  <c r="C194" i="138"/>
  <c r="C178" i="147" s="1"/>
  <c r="D194" i="138"/>
  <c r="E194" i="138"/>
  <c r="F194" i="138"/>
  <c r="G194" i="138"/>
  <c r="H194" i="138"/>
  <c r="I194" i="138"/>
  <c r="J194" i="138"/>
  <c r="K194" i="138"/>
  <c r="L194" i="138"/>
  <c r="M194" i="138"/>
  <c r="N194" i="138"/>
  <c r="O194" i="138"/>
  <c r="P194" i="138"/>
  <c r="Q194" i="138"/>
  <c r="R194" i="138"/>
  <c r="S194" i="138"/>
  <c r="T194" i="138"/>
  <c r="U194" i="138"/>
  <c r="V194" i="138"/>
  <c r="C195" i="138"/>
  <c r="C179" i="147" s="1"/>
  <c r="D195" i="138"/>
  <c r="E195" i="138"/>
  <c r="F195" i="138"/>
  <c r="G195" i="138"/>
  <c r="H195" i="138"/>
  <c r="I195" i="138"/>
  <c r="J195" i="138"/>
  <c r="K195" i="138"/>
  <c r="L195" i="138"/>
  <c r="M195" i="138"/>
  <c r="N195" i="138"/>
  <c r="O195" i="138"/>
  <c r="P195" i="138"/>
  <c r="Q195" i="138"/>
  <c r="R195" i="138"/>
  <c r="S195" i="138"/>
  <c r="T195" i="138"/>
  <c r="U195" i="138"/>
  <c r="V195" i="138"/>
  <c r="C196" i="138"/>
  <c r="C180" i="147" s="1"/>
  <c r="D196" i="138"/>
  <c r="E196" i="138"/>
  <c r="F196" i="138"/>
  <c r="G196" i="138"/>
  <c r="H196" i="138"/>
  <c r="I196" i="138"/>
  <c r="J196" i="138"/>
  <c r="K196" i="138"/>
  <c r="L196" i="138"/>
  <c r="M196" i="138"/>
  <c r="N196" i="138"/>
  <c r="O196" i="138"/>
  <c r="P196" i="138"/>
  <c r="Q196" i="138"/>
  <c r="R196" i="138"/>
  <c r="S196" i="138"/>
  <c r="T196" i="138"/>
  <c r="U196" i="138"/>
  <c r="V196" i="138"/>
  <c r="C197" i="138"/>
  <c r="C181" i="147" s="1"/>
  <c r="D197" i="138"/>
  <c r="E197" i="138"/>
  <c r="F197" i="138"/>
  <c r="G197" i="138"/>
  <c r="H197" i="138"/>
  <c r="I197" i="138"/>
  <c r="J197" i="138"/>
  <c r="K197" i="138"/>
  <c r="L197" i="138"/>
  <c r="M197" i="138"/>
  <c r="N197" i="138"/>
  <c r="O197" i="138"/>
  <c r="P197" i="138"/>
  <c r="Q197" i="138"/>
  <c r="R197" i="138"/>
  <c r="S197" i="138"/>
  <c r="T197" i="138"/>
  <c r="U197" i="138"/>
  <c r="V197" i="138"/>
  <c r="C198" i="138"/>
  <c r="C182" i="147" s="1"/>
  <c r="D198" i="138"/>
  <c r="E198" i="138"/>
  <c r="F198" i="138"/>
  <c r="G198" i="138"/>
  <c r="H198" i="138"/>
  <c r="I198" i="138"/>
  <c r="J198" i="138"/>
  <c r="K198" i="138"/>
  <c r="L198" i="138"/>
  <c r="M198" i="138"/>
  <c r="N198" i="138"/>
  <c r="O198" i="138"/>
  <c r="P198" i="138"/>
  <c r="Q198" i="138"/>
  <c r="R198" i="138"/>
  <c r="S198" i="138"/>
  <c r="T198" i="138"/>
  <c r="U198" i="138"/>
  <c r="V198" i="138"/>
  <c r="C199" i="138"/>
  <c r="C183" i="147" s="1"/>
  <c r="D199" i="138"/>
  <c r="E199" i="138"/>
  <c r="F199" i="138"/>
  <c r="G199" i="138"/>
  <c r="H199" i="138"/>
  <c r="I199" i="138"/>
  <c r="J199" i="138"/>
  <c r="K199" i="138"/>
  <c r="L199" i="138"/>
  <c r="M199" i="138"/>
  <c r="N199" i="138"/>
  <c r="O199" i="138"/>
  <c r="P199" i="138"/>
  <c r="Q199" i="138"/>
  <c r="R199" i="138"/>
  <c r="S199" i="138"/>
  <c r="T199" i="138"/>
  <c r="U199" i="138"/>
  <c r="V199" i="138"/>
  <c r="C200" i="138"/>
  <c r="C184" i="147" s="1"/>
  <c r="D200" i="138"/>
  <c r="E200" i="138"/>
  <c r="F200" i="138"/>
  <c r="G200" i="138"/>
  <c r="H200" i="138"/>
  <c r="I200" i="138"/>
  <c r="J200" i="138"/>
  <c r="K200" i="138"/>
  <c r="L200" i="138"/>
  <c r="M200" i="138"/>
  <c r="N200" i="138"/>
  <c r="O200" i="138"/>
  <c r="P200" i="138"/>
  <c r="Q200" i="138"/>
  <c r="R200" i="138"/>
  <c r="S200" i="138"/>
  <c r="T200" i="138"/>
  <c r="U200" i="138"/>
  <c r="V200" i="138"/>
  <c r="C201" i="138"/>
  <c r="C185" i="147" s="1"/>
  <c r="D201" i="138"/>
  <c r="E201" i="138"/>
  <c r="F201" i="138"/>
  <c r="G201" i="138"/>
  <c r="H201" i="138"/>
  <c r="I201" i="138"/>
  <c r="J201" i="138"/>
  <c r="K201" i="138"/>
  <c r="L201" i="138"/>
  <c r="M201" i="138"/>
  <c r="N201" i="138"/>
  <c r="O201" i="138"/>
  <c r="P201" i="138"/>
  <c r="Q201" i="138"/>
  <c r="R201" i="138"/>
  <c r="S201" i="138"/>
  <c r="T201" i="138"/>
  <c r="U201" i="138"/>
  <c r="V201" i="138"/>
  <c r="C202" i="138"/>
  <c r="C186" i="147" s="1"/>
  <c r="D202" i="138"/>
  <c r="E202" i="138"/>
  <c r="F202" i="138"/>
  <c r="G202" i="138"/>
  <c r="H202" i="138"/>
  <c r="I202" i="138"/>
  <c r="J202" i="138"/>
  <c r="K202" i="138"/>
  <c r="L202" i="138"/>
  <c r="M202" i="138"/>
  <c r="N202" i="138"/>
  <c r="O202" i="138"/>
  <c r="P202" i="138"/>
  <c r="Q202" i="138"/>
  <c r="R202" i="138"/>
  <c r="S202" i="138"/>
  <c r="T202" i="138"/>
  <c r="U202" i="138"/>
  <c r="V202" i="138"/>
  <c r="C203" i="138"/>
  <c r="C187" i="147" s="1"/>
  <c r="D203" i="138"/>
  <c r="E203" i="138"/>
  <c r="F203" i="138"/>
  <c r="G203" i="138"/>
  <c r="H203" i="138"/>
  <c r="I203" i="138"/>
  <c r="J203" i="138"/>
  <c r="K203" i="138"/>
  <c r="L203" i="138"/>
  <c r="M203" i="138"/>
  <c r="N203" i="138"/>
  <c r="O203" i="138"/>
  <c r="P203" i="138"/>
  <c r="Q203" i="138"/>
  <c r="R203" i="138"/>
  <c r="S203" i="138"/>
  <c r="T203" i="138"/>
  <c r="U203" i="138"/>
  <c r="V203" i="138"/>
  <c r="C204" i="138"/>
  <c r="C188" i="147" s="1"/>
  <c r="D204" i="138"/>
  <c r="E204" i="138"/>
  <c r="F204" i="138"/>
  <c r="G204" i="138"/>
  <c r="H204" i="138"/>
  <c r="I204" i="138"/>
  <c r="J204" i="138"/>
  <c r="K204" i="138"/>
  <c r="L204" i="138"/>
  <c r="M204" i="138"/>
  <c r="N204" i="138"/>
  <c r="O204" i="138"/>
  <c r="P204" i="138"/>
  <c r="Q204" i="138"/>
  <c r="R204" i="138"/>
  <c r="S204" i="138"/>
  <c r="T204" i="138"/>
  <c r="U204" i="138"/>
  <c r="V204" i="138"/>
  <c r="D158" i="138"/>
  <c r="D230" i="138" s="1"/>
  <c r="E158" i="138"/>
  <c r="F158" i="138"/>
  <c r="G158" i="138"/>
  <c r="H158" i="138"/>
  <c r="I158" i="138"/>
  <c r="I230" i="138" s="1"/>
  <c r="J158" i="138"/>
  <c r="J230" i="138" s="1"/>
  <c r="K158" i="138"/>
  <c r="L158" i="138"/>
  <c r="L230" i="138" s="1"/>
  <c r="M158" i="138"/>
  <c r="M230" i="138" s="1"/>
  <c r="N158" i="138"/>
  <c r="N230" i="138" s="1"/>
  <c r="O158" i="138"/>
  <c r="O230" i="138" s="1"/>
  <c r="P158" i="138"/>
  <c r="P230" i="138" s="1"/>
  <c r="Q158" i="138"/>
  <c r="R158" i="138"/>
  <c r="R230" i="138" s="1"/>
  <c r="S158" i="138"/>
  <c r="S230" i="138" s="1"/>
  <c r="T158" i="138"/>
  <c r="T230" i="138" s="1"/>
  <c r="U158" i="138"/>
  <c r="U230" i="138" s="1"/>
  <c r="V158" i="138"/>
  <c r="C158" i="138"/>
  <c r="C81" i="138"/>
  <c r="C75" i="147" s="1"/>
  <c r="D81" i="138"/>
  <c r="E81" i="138"/>
  <c r="F81" i="138"/>
  <c r="G81" i="138"/>
  <c r="H81" i="138"/>
  <c r="I81" i="138"/>
  <c r="J81" i="138"/>
  <c r="K81" i="138"/>
  <c r="L81" i="138"/>
  <c r="M81" i="138"/>
  <c r="N81" i="138"/>
  <c r="O81" i="138"/>
  <c r="P81" i="138"/>
  <c r="Q81" i="138"/>
  <c r="R81" i="138"/>
  <c r="S81" i="138"/>
  <c r="T81" i="138"/>
  <c r="U81" i="138"/>
  <c r="V81" i="138"/>
  <c r="C82" i="138"/>
  <c r="C76" i="147" s="1"/>
  <c r="D82" i="138"/>
  <c r="E82" i="138"/>
  <c r="F82" i="138"/>
  <c r="G82" i="138"/>
  <c r="H82" i="138"/>
  <c r="I82" i="138"/>
  <c r="J82" i="138"/>
  <c r="K82" i="138"/>
  <c r="L82" i="138"/>
  <c r="M82" i="138"/>
  <c r="N82" i="138"/>
  <c r="O82" i="138"/>
  <c r="P82" i="138"/>
  <c r="Q82" i="138"/>
  <c r="R82" i="138"/>
  <c r="S82" i="138"/>
  <c r="T82" i="138"/>
  <c r="U82" i="138"/>
  <c r="V82" i="138"/>
  <c r="C83" i="138"/>
  <c r="D83" i="138"/>
  <c r="E83" i="138"/>
  <c r="F83" i="138"/>
  <c r="G83" i="138"/>
  <c r="H83" i="138"/>
  <c r="I83" i="138"/>
  <c r="J83" i="138"/>
  <c r="K83" i="138"/>
  <c r="L83" i="138"/>
  <c r="M83" i="138"/>
  <c r="N83" i="138"/>
  <c r="O83" i="138"/>
  <c r="P83" i="138"/>
  <c r="Q83" i="138"/>
  <c r="R83" i="138"/>
  <c r="S83" i="138"/>
  <c r="T83" i="138"/>
  <c r="U83" i="138"/>
  <c r="V83" i="138"/>
  <c r="C84" i="138"/>
  <c r="C77" i="147" s="1"/>
  <c r="D84" i="138"/>
  <c r="E84" i="138"/>
  <c r="F84" i="138"/>
  <c r="G84" i="138"/>
  <c r="H84" i="138"/>
  <c r="I84" i="138"/>
  <c r="J84" i="138"/>
  <c r="K84" i="138"/>
  <c r="L84" i="138"/>
  <c r="M84" i="138"/>
  <c r="N84" i="138"/>
  <c r="O84" i="138"/>
  <c r="P84" i="138"/>
  <c r="Q84" i="138"/>
  <c r="R84" i="138"/>
  <c r="S84" i="138"/>
  <c r="T84" i="138"/>
  <c r="U84" i="138"/>
  <c r="V84" i="138"/>
  <c r="C85" i="138"/>
  <c r="C78" i="147" s="1"/>
  <c r="D85" i="138"/>
  <c r="E85" i="138"/>
  <c r="F85" i="138"/>
  <c r="G85" i="138"/>
  <c r="H85" i="138"/>
  <c r="I85" i="138"/>
  <c r="J85" i="138"/>
  <c r="K85" i="138"/>
  <c r="L85" i="138"/>
  <c r="M85" i="138"/>
  <c r="N85" i="138"/>
  <c r="O85" i="138"/>
  <c r="P85" i="138"/>
  <c r="Q85" i="138"/>
  <c r="R85" i="138"/>
  <c r="S85" i="138"/>
  <c r="T85" i="138"/>
  <c r="U85" i="138"/>
  <c r="V85" i="138"/>
  <c r="C86" i="138"/>
  <c r="C79" i="147" s="1"/>
  <c r="D86" i="138"/>
  <c r="E86" i="138"/>
  <c r="F86" i="138"/>
  <c r="G86" i="138"/>
  <c r="H86" i="138"/>
  <c r="I86" i="138"/>
  <c r="J86" i="138"/>
  <c r="K86" i="138"/>
  <c r="L86" i="138"/>
  <c r="M86" i="138"/>
  <c r="N86" i="138"/>
  <c r="O86" i="138"/>
  <c r="P86" i="138"/>
  <c r="Q86" i="138"/>
  <c r="R86" i="138"/>
  <c r="S86" i="138"/>
  <c r="T86" i="138"/>
  <c r="U86" i="138"/>
  <c r="V86" i="138"/>
  <c r="C87" i="138"/>
  <c r="D87" i="138"/>
  <c r="E87" i="138"/>
  <c r="F87" i="138"/>
  <c r="G87" i="138"/>
  <c r="H87" i="138"/>
  <c r="I87" i="138"/>
  <c r="J87" i="138"/>
  <c r="K87" i="138"/>
  <c r="L87" i="138"/>
  <c r="M87" i="138"/>
  <c r="N87" i="138"/>
  <c r="O87" i="138"/>
  <c r="P87" i="138"/>
  <c r="Q87" i="138"/>
  <c r="R87" i="138"/>
  <c r="S87" i="138"/>
  <c r="T87" i="138"/>
  <c r="U87" i="138"/>
  <c r="V87" i="138"/>
  <c r="C88" i="138"/>
  <c r="C104" i="147" s="1"/>
  <c r="D88" i="138"/>
  <c r="E88" i="138"/>
  <c r="F88" i="138"/>
  <c r="G88" i="138"/>
  <c r="H88" i="138"/>
  <c r="I88" i="138"/>
  <c r="J88" i="138"/>
  <c r="K88" i="138"/>
  <c r="L88" i="138"/>
  <c r="M88" i="138"/>
  <c r="N88" i="138"/>
  <c r="O88" i="138"/>
  <c r="P88" i="138"/>
  <c r="Q88" i="138"/>
  <c r="R88" i="138"/>
  <c r="S88" i="138"/>
  <c r="T88" i="138"/>
  <c r="U88" i="138"/>
  <c r="V88" i="138"/>
  <c r="C89" i="138"/>
  <c r="C80" i="147" s="1"/>
  <c r="D89" i="138"/>
  <c r="E89" i="138"/>
  <c r="F89" i="138"/>
  <c r="G89" i="138"/>
  <c r="H89" i="138"/>
  <c r="I89" i="138"/>
  <c r="J89" i="138"/>
  <c r="K89" i="138"/>
  <c r="L89" i="138"/>
  <c r="M89" i="138"/>
  <c r="N89" i="138"/>
  <c r="O89" i="138"/>
  <c r="P89" i="138"/>
  <c r="Q89" i="138"/>
  <c r="R89" i="138"/>
  <c r="S89" i="138"/>
  <c r="T89" i="138"/>
  <c r="U89" i="138"/>
  <c r="V89" i="138"/>
  <c r="C90" i="138"/>
  <c r="C81" i="147" s="1"/>
  <c r="D90" i="138"/>
  <c r="E90" i="138"/>
  <c r="F90" i="138"/>
  <c r="G90" i="138"/>
  <c r="H90" i="138"/>
  <c r="I90" i="138"/>
  <c r="J90" i="138"/>
  <c r="K90" i="138"/>
  <c r="L90" i="138"/>
  <c r="M90" i="138"/>
  <c r="N90" i="138"/>
  <c r="O90" i="138"/>
  <c r="P90" i="138"/>
  <c r="Q90" i="138"/>
  <c r="R90" i="138"/>
  <c r="S90" i="138"/>
  <c r="T90" i="138"/>
  <c r="U90" i="138"/>
  <c r="V90" i="138"/>
  <c r="C91" i="138"/>
  <c r="D91" i="138"/>
  <c r="E91" i="138"/>
  <c r="F91" i="138"/>
  <c r="G91" i="138"/>
  <c r="H91" i="138"/>
  <c r="I91" i="138"/>
  <c r="J91" i="138"/>
  <c r="K91" i="138"/>
  <c r="L91" i="138"/>
  <c r="M91" i="138"/>
  <c r="N91" i="138"/>
  <c r="O91" i="138"/>
  <c r="P91" i="138"/>
  <c r="Q91" i="138"/>
  <c r="R91" i="138"/>
  <c r="S91" i="138"/>
  <c r="T91" i="138"/>
  <c r="U91" i="138"/>
  <c r="V91" i="138"/>
  <c r="C92" i="138"/>
  <c r="C82" i="147" s="1"/>
  <c r="D92" i="138"/>
  <c r="E92" i="138"/>
  <c r="F92" i="138"/>
  <c r="G92" i="138"/>
  <c r="H92" i="138"/>
  <c r="I92" i="138"/>
  <c r="J92" i="138"/>
  <c r="K92" i="138"/>
  <c r="L92" i="138"/>
  <c r="M92" i="138"/>
  <c r="N92" i="138"/>
  <c r="O92" i="138"/>
  <c r="P92" i="138"/>
  <c r="Q92" i="138"/>
  <c r="R92" i="138"/>
  <c r="S92" i="138"/>
  <c r="T92" i="138"/>
  <c r="U92" i="138"/>
  <c r="V92" i="138"/>
  <c r="C93" i="138"/>
  <c r="D93" i="138"/>
  <c r="E93" i="138"/>
  <c r="F93" i="138"/>
  <c r="G93" i="138"/>
  <c r="H93" i="138"/>
  <c r="I93" i="138"/>
  <c r="J93" i="138"/>
  <c r="K93" i="138"/>
  <c r="L93" i="138"/>
  <c r="M93" i="138"/>
  <c r="N93" i="138"/>
  <c r="O93" i="138"/>
  <c r="P93" i="138"/>
  <c r="Q93" i="138"/>
  <c r="R93" i="138"/>
  <c r="S93" i="138"/>
  <c r="T93" i="138"/>
  <c r="U93" i="138"/>
  <c r="V93" i="138"/>
  <c r="C94" i="138"/>
  <c r="D94" i="138"/>
  <c r="E94" i="138"/>
  <c r="F94" i="138"/>
  <c r="G94" i="138"/>
  <c r="H94" i="138"/>
  <c r="I94" i="138"/>
  <c r="J94" i="138"/>
  <c r="K94" i="138"/>
  <c r="L94" i="138"/>
  <c r="M94" i="138"/>
  <c r="N94" i="138"/>
  <c r="O94" i="138"/>
  <c r="P94" i="138"/>
  <c r="Q94" i="138"/>
  <c r="R94" i="138"/>
  <c r="S94" i="138"/>
  <c r="T94" i="138"/>
  <c r="U94" i="138"/>
  <c r="V94" i="138"/>
  <c r="C95" i="138"/>
  <c r="D95" i="138"/>
  <c r="E95" i="138"/>
  <c r="F95" i="138"/>
  <c r="G95" i="138"/>
  <c r="H95" i="138"/>
  <c r="I95" i="138"/>
  <c r="J95" i="138"/>
  <c r="K95" i="138"/>
  <c r="L95" i="138"/>
  <c r="M95" i="138"/>
  <c r="N95" i="138"/>
  <c r="O95" i="138"/>
  <c r="P95" i="138"/>
  <c r="Q95" i="138"/>
  <c r="R95" i="138"/>
  <c r="S95" i="138"/>
  <c r="T95" i="138"/>
  <c r="U95" i="138"/>
  <c r="V95" i="138"/>
  <c r="C96" i="138"/>
  <c r="D96" i="138"/>
  <c r="E96" i="138"/>
  <c r="F96" i="138"/>
  <c r="G96" i="138"/>
  <c r="H96" i="138"/>
  <c r="I96" i="138"/>
  <c r="J96" i="138"/>
  <c r="K96" i="138"/>
  <c r="L96" i="138"/>
  <c r="M96" i="138"/>
  <c r="N96" i="138"/>
  <c r="O96" i="138"/>
  <c r="P96" i="138"/>
  <c r="Q96" i="138"/>
  <c r="R96" i="138"/>
  <c r="S96" i="138"/>
  <c r="T96" i="138"/>
  <c r="U96" i="138"/>
  <c r="V96" i="138"/>
  <c r="C97" i="138"/>
  <c r="C83" i="147" s="1"/>
  <c r="D97" i="138"/>
  <c r="E97" i="138"/>
  <c r="F97" i="138"/>
  <c r="G97" i="138"/>
  <c r="H97" i="138"/>
  <c r="I97" i="138"/>
  <c r="J97" i="138"/>
  <c r="K97" i="138"/>
  <c r="L97" i="138"/>
  <c r="M97" i="138"/>
  <c r="N97" i="138"/>
  <c r="O97" i="138"/>
  <c r="P97" i="138"/>
  <c r="Q97" i="138"/>
  <c r="R97" i="138"/>
  <c r="S97" i="138"/>
  <c r="T97" i="138"/>
  <c r="U97" i="138"/>
  <c r="V97" i="138"/>
  <c r="C98" i="138"/>
  <c r="C84" i="147" s="1"/>
  <c r="D98" i="138"/>
  <c r="E98" i="138"/>
  <c r="F98" i="138"/>
  <c r="G98" i="138"/>
  <c r="H98" i="138"/>
  <c r="I98" i="138"/>
  <c r="J98" i="138"/>
  <c r="K98" i="138"/>
  <c r="L98" i="138"/>
  <c r="M98" i="138"/>
  <c r="N98" i="138"/>
  <c r="O98" i="138"/>
  <c r="P98" i="138"/>
  <c r="Q98" i="138"/>
  <c r="R98" i="138"/>
  <c r="S98" i="138"/>
  <c r="T98" i="138"/>
  <c r="U98" i="138"/>
  <c r="V98" i="138"/>
  <c r="C99" i="138"/>
  <c r="C88" i="147" s="1"/>
  <c r="D99" i="138"/>
  <c r="E99" i="138"/>
  <c r="F99" i="138"/>
  <c r="G99" i="138"/>
  <c r="H99" i="138"/>
  <c r="I99" i="138"/>
  <c r="J99" i="138"/>
  <c r="K99" i="138"/>
  <c r="L99" i="138"/>
  <c r="M99" i="138"/>
  <c r="N99" i="138"/>
  <c r="O99" i="138"/>
  <c r="P99" i="138"/>
  <c r="Q99" i="138"/>
  <c r="R99" i="138"/>
  <c r="S99" i="138"/>
  <c r="T99" i="138"/>
  <c r="U99" i="138"/>
  <c r="V99" i="138"/>
  <c r="C100" i="138"/>
  <c r="C85" i="147" s="1"/>
  <c r="D100" i="138"/>
  <c r="E100" i="138"/>
  <c r="F100" i="138"/>
  <c r="G100" i="138"/>
  <c r="H100" i="138"/>
  <c r="I100" i="138"/>
  <c r="J100" i="138"/>
  <c r="K100" i="138"/>
  <c r="L100" i="138"/>
  <c r="M100" i="138"/>
  <c r="N100" i="138"/>
  <c r="O100" i="138"/>
  <c r="P100" i="138"/>
  <c r="Q100" i="138"/>
  <c r="R100" i="138"/>
  <c r="S100" i="138"/>
  <c r="T100" i="138"/>
  <c r="U100" i="138"/>
  <c r="V100" i="138"/>
  <c r="C101" i="138"/>
  <c r="C86" i="147" s="1"/>
  <c r="D101" i="138"/>
  <c r="E101" i="138"/>
  <c r="F101" i="138"/>
  <c r="G101" i="138"/>
  <c r="H101" i="138"/>
  <c r="I101" i="138"/>
  <c r="J101" i="138"/>
  <c r="K101" i="138"/>
  <c r="L101" i="138"/>
  <c r="M101" i="138"/>
  <c r="N101" i="138"/>
  <c r="O101" i="138"/>
  <c r="P101" i="138"/>
  <c r="Q101" i="138"/>
  <c r="R101" i="138"/>
  <c r="S101" i="138"/>
  <c r="T101" i="138"/>
  <c r="U101" i="138"/>
  <c r="V101" i="138"/>
  <c r="C102" i="138"/>
  <c r="C87" i="147" s="1"/>
  <c r="D102" i="138"/>
  <c r="E102" i="138"/>
  <c r="F102" i="138"/>
  <c r="G102" i="138"/>
  <c r="H102" i="138"/>
  <c r="I102" i="138"/>
  <c r="J102" i="138"/>
  <c r="K102" i="138"/>
  <c r="L102" i="138"/>
  <c r="M102" i="138"/>
  <c r="N102" i="138"/>
  <c r="O102" i="138"/>
  <c r="P102" i="138"/>
  <c r="Q102" i="138"/>
  <c r="R102" i="138"/>
  <c r="S102" i="138"/>
  <c r="T102" i="138"/>
  <c r="U102" i="138"/>
  <c r="V102" i="138"/>
  <c r="C103" i="138"/>
  <c r="C89" i="147" s="1"/>
  <c r="D103" i="138"/>
  <c r="E103" i="138"/>
  <c r="F103" i="138"/>
  <c r="G103" i="138"/>
  <c r="H103" i="138"/>
  <c r="I103" i="138"/>
  <c r="J103" i="138"/>
  <c r="K103" i="138"/>
  <c r="L103" i="138"/>
  <c r="M103" i="138"/>
  <c r="N103" i="138"/>
  <c r="O103" i="138"/>
  <c r="P103" i="138"/>
  <c r="Q103" i="138"/>
  <c r="R103" i="138"/>
  <c r="S103" i="138"/>
  <c r="T103" i="138"/>
  <c r="U103" i="138"/>
  <c r="V103" i="138"/>
  <c r="C104" i="138"/>
  <c r="C90" i="147" s="1"/>
  <c r="D104" i="138"/>
  <c r="E104" i="138"/>
  <c r="F104" i="138"/>
  <c r="G104" i="138"/>
  <c r="H104" i="138"/>
  <c r="I104" i="138"/>
  <c r="J104" i="138"/>
  <c r="K104" i="138"/>
  <c r="L104" i="138"/>
  <c r="M104" i="138"/>
  <c r="N104" i="138"/>
  <c r="O104" i="138"/>
  <c r="P104" i="138"/>
  <c r="Q104" i="138"/>
  <c r="R104" i="138"/>
  <c r="S104" i="138"/>
  <c r="T104" i="138"/>
  <c r="U104" i="138"/>
  <c r="V104" i="138"/>
  <c r="C105" i="138"/>
  <c r="C91" i="147" s="1"/>
  <c r="D105" i="138"/>
  <c r="E105" i="138"/>
  <c r="F105" i="138"/>
  <c r="G105" i="138"/>
  <c r="H105" i="138"/>
  <c r="I105" i="138"/>
  <c r="J105" i="138"/>
  <c r="K105" i="138"/>
  <c r="L105" i="138"/>
  <c r="M105" i="138"/>
  <c r="N105" i="138"/>
  <c r="O105" i="138"/>
  <c r="P105" i="138"/>
  <c r="Q105" i="138"/>
  <c r="R105" i="138"/>
  <c r="S105" i="138"/>
  <c r="T105" i="138"/>
  <c r="U105" i="138"/>
  <c r="V105" i="138"/>
  <c r="C106" i="138"/>
  <c r="C92" i="147" s="1"/>
  <c r="D106" i="138"/>
  <c r="E106" i="138"/>
  <c r="F106" i="138"/>
  <c r="G106" i="138"/>
  <c r="H106" i="138"/>
  <c r="I106" i="138"/>
  <c r="J106" i="138"/>
  <c r="K106" i="138"/>
  <c r="L106" i="138"/>
  <c r="M106" i="138"/>
  <c r="N106" i="138"/>
  <c r="O106" i="138"/>
  <c r="P106" i="138"/>
  <c r="Q106" i="138"/>
  <c r="R106" i="138"/>
  <c r="S106" i="138"/>
  <c r="T106" i="138"/>
  <c r="U106" i="138"/>
  <c r="V106" i="138"/>
  <c r="C107" i="138"/>
  <c r="C93" i="147" s="1"/>
  <c r="D107" i="138"/>
  <c r="E107" i="138"/>
  <c r="F107" i="138"/>
  <c r="G107" i="138"/>
  <c r="H107" i="138"/>
  <c r="I107" i="138"/>
  <c r="J107" i="138"/>
  <c r="K107" i="138"/>
  <c r="L107" i="138"/>
  <c r="M107" i="138"/>
  <c r="N107" i="138"/>
  <c r="O107" i="138"/>
  <c r="P107" i="138"/>
  <c r="Q107" i="138"/>
  <c r="R107" i="138"/>
  <c r="S107" i="138"/>
  <c r="T107" i="138"/>
  <c r="U107" i="138"/>
  <c r="V107" i="138"/>
  <c r="C108" i="138"/>
  <c r="C94" i="147" s="1"/>
  <c r="D108" i="138"/>
  <c r="E108" i="138"/>
  <c r="F108" i="138"/>
  <c r="G108" i="138"/>
  <c r="H108" i="138"/>
  <c r="I108" i="138"/>
  <c r="J108" i="138"/>
  <c r="K108" i="138"/>
  <c r="L108" i="138"/>
  <c r="M108" i="138"/>
  <c r="N108" i="138"/>
  <c r="O108" i="138"/>
  <c r="P108" i="138"/>
  <c r="Q108" i="138"/>
  <c r="R108" i="138"/>
  <c r="S108" i="138"/>
  <c r="T108" i="138"/>
  <c r="U108" i="138"/>
  <c r="V108" i="138"/>
  <c r="C109" i="138"/>
  <c r="D109" i="138"/>
  <c r="E109" i="138"/>
  <c r="F109" i="138"/>
  <c r="G109" i="138"/>
  <c r="H109" i="138"/>
  <c r="I109" i="138"/>
  <c r="J109" i="138"/>
  <c r="K109" i="138"/>
  <c r="L109" i="138"/>
  <c r="M109" i="138"/>
  <c r="N109" i="138"/>
  <c r="O109" i="138"/>
  <c r="P109" i="138"/>
  <c r="Q109" i="138"/>
  <c r="R109" i="138"/>
  <c r="S109" i="138"/>
  <c r="T109" i="138"/>
  <c r="U109" i="138"/>
  <c r="V109" i="138"/>
  <c r="C110" i="138"/>
  <c r="C99" i="147" s="1"/>
  <c r="D110" i="138"/>
  <c r="E110" i="138"/>
  <c r="F110" i="138"/>
  <c r="G110" i="138"/>
  <c r="H110" i="138"/>
  <c r="I110" i="138"/>
  <c r="J110" i="138"/>
  <c r="K110" i="138"/>
  <c r="L110" i="138"/>
  <c r="M110" i="138"/>
  <c r="N110" i="138"/>
  <c r="O110" i="138"/>
  <c r="P110" i="138"/>
  <c r="Q110" i="138"/>
  <c r="R110" i="138"/>
  <c r="S110" i="138"/>
  <c r="T110" i="138"/>
  <c r="U110" i="138"/>
  <c r="V110" i="138"/>
  <c r="C111" i="138"/>
  <c r="C116" i="147" s="1"/>
  <c r="D111" i="138"/>
  <c r="E111" i="138"/>
  <c r="F111" i="138"/>
  <c r="G111" i="138"/>
  <c r="H111" i="138"/>
  <c r="I111" i="138"/>
  <c r="J111" i="138"/>
  <c r="K111" i="138"/>
  <c r="L111" i="138"/>
  <c r="M111" i="138"/>
  <c r="N111" i="138"/>
  <c r="O111" i="138"/>
  <c r="P111" i="138"/>
  <c r="Q111" i="138"/>
  <c r="R111" i="138"/>
  <c r="S111" i="138"/>
  <c r="T111" i="138"/>
  <c r="U111" i="138"/>
  <c r="V111" i="138"/>
  <c r="C112" i="138"/>
  <c r="C100" i="147" s="1"/>
  <c r="D112" i="138"/>
  <c r="E112" i="138"/>
  <c r="F112" i="138"/>
  <c r="G112" i="138"/>
  <c r="H112" i="138"/>
  <c r="I112" i="138"/>
  <c r="J112" i="138"/>
  <c r="K112" i="138"/>
  <c r="L112" i="138"/>
  <c r="M112" i="138"/>
  <c r="N112" i="138"/>
  <c r="O112" i="138"/>
  <c r="P112" i="138"/>
  <c r="Q112" i="138"/>
  <c r="R112" i="138"/>
  <c r="S112" i="138"/>
  <c r="T112" i="138"/>
  <c r="U112" i="138"/>
  <c r="V112" i="138"/>
  <c r="C113" i="138"/>
  <c r="C101" i="147" s="1"/>
  <c r="D113" i="138"/>
  <c r="E113" i="138"/>
  <c r="F113" i="138"/>
  <c r="G113" i="138"/>
  <c r="H113" i="138"/>
  <c r="I113" i="138"/>
  <c r="J113" i="138"/>
  <c r="K113" i="138"/>
  <c r="L113" i="138"/>
  <c r="M113" i="138"/>
  <c r="N113" i="138"/>
  <c r="O113" i="138"/>
  <c r="P113" i="138"/>
  <c r="Q113" i="138"/>
  <c r="R113" i="138"/>
  <c r="S113" i="138"/>
  <c r="T113" i="138"/>
  <c r="U113" i="138"/>
  <c r="V113" i="138"/>
  <c r="C114" i="138"/>
  <c r="C102" i="147" s="1"/>
  <c r="D114" i="138"/>
  <c r="E114" i="138"/>
  <c r="F114" i="138"/>
  <c r="G114" i="138"/>
  <c r="H114" i="138"/>
  <c r="I114" i="138"/>
  <c r="J114" i="138"/>
  <c r="K114" i="138"/>
  <c r="L114" i="138"/>
  <c r="M114" i="138"/>
  <c r="N114" i="138"/>
  <c r="O114" i="138"/>
  <c r="P114" i="138"/>
  <c r="Q114" i="138"/>
  <c r="R114" i="138"/>
  <c r="S114" i="138"/>
  <c r="T114" i="138"/>
  <c r="U114" i="138"/>
  <c r="V114" i="138"/>
  <c r="C115" i="138"/>
  <c r="C103" i="147" s="1"/>
  <c r="D115" i="138"/>
  <c r="E115" i="138"/>
  <c r="F115" i="138"/>
  <c r="G115" i="138"/>
  <c r="H115" i="138"/>
  <c r="I115" i="138"/>
  <c r="J115" i="138"/>
  <c r="K115" i="138"/>
  <c r="L115" i="138"/>
  <c r="M115" i="138"/>
  <c r="N115" i="138"/>
  <c r="O115" i="138"/>
  <c r="P115" i="138"/>
  <c r="Q115" i="138"/>
  <c r="R115" i="138"/>
  <c r="S115" i="138"/>
  <c r="T115" i="138"/>
  <c r="U115" i="138"/>
  <c r="V115" i="138"/>
  <c r="C116" i="138"/>
  <c r="C105" i="147" s="1"/>
  <c r="D116" i="138"/>
  <c r="E116" i="138"/>
  <c r="F116" i="138"/>
  <c r="G116" i="138"/>
  <c r="H116" i="138"/>
  <c r="I116" i="138"/>
  <c r="J116" i="138"/>
  <c r="K116" i="138"/>
  <c r="L116" i="138"/>
  <c r="M116" i="138"/>
  <c r="N116" i="138"/>
  <c r="O116" i="138"/>
  <c r="P116" i="138"/>
  <c r="Q116" i="138"/>
  <c r="R116" i="138"/>
  <c r="S116" i="138"/>
  <c r="T116" i="138"/>
  <c r="U116" i="138"/>
  <c r="V116" i="138"/>
  <c r="C117" i="138"/>
  <c r="C106" i="147" s="1"/>
  <c r="D117" i="138"/>
  <c r="E117" i="138"/>
  <c r="F117" i="138"/>
  <c r="G117" i="138"/>
  <c r="H117" i="138"/>
  <c r="I117" i="138"/>
  <c r="J117" i="138"/>
  <c r="K117" i="138"/>
  <c r="L117" i="138"/>
  <c r="M117" i="138"/>
  <c r="N117" i="138"/>
  <c r="O117" i="138"/>
  <c r="P117" i="138"/>
  <c r="Q117" i="138"/>
  <c r="R117" i="138"/>
  <c r="S117" i="138"/>
  <c r="T117" i="138"/>
  <c r="U117" i="138"/>
  <c r="V117" i="138"/>
  <c r="C118" i="138"/>
  <c r="C107" i="147" s="1"/>
  <c r="D118" i="138"/>
  <c r="E118" i="138"/>
  <c r="F118" i="138"/>
  <c r="G118" i="138"/>
  <c r="H118" i="138"/>
  <c r="I118" i="138"/>
  <c r="J118" i="138"/>
  <c r="K118" i="138"/>
  <c r="L118" i="138"/>
  <c r="M118" i="138"/>
  <c r="N118" i="138"/>
  <c r="O118" i="138"/>
  <c r="P118" i="138"/>
  <c r="Q118" i="138"/>
  <c r="R118" i="138"/>
  <c r="S118" i="138"/>
  <c r="T118" i="138"/>
  <c r="U118" i="138"/>
  <c r="V118" i="138"/>
  <c r="C119" i="138"/>
  <c r="C108" i="147" s="1"/>
  <c r="D119" i="138"/>
  <c r="E119" i="138"/>
  <c r="F119" i="138"/>
  <c r="G119" i="138"/>
  <c r="H119" i="138"/>
  <c r="I119" i="138"/>
  <c r="J119" i="138"/>
  <c r="K119" i="138"/>
  <c r="L119" i="138"/>
  <c r="M119" i="138"/>
  <c r="N119" i="138"/>
  <c r="O119" i="138"/>
  <c r="P119" i="138"/>
  <c r="Q119" i="138"/>
  <c r="R119" i="138"/>
  <c r="S119" i="138"/>
  <c r="T119" i="138"/>
  <c r="U119" i="138"/>
  <c r="V119" i="138"/>
  <c r="C120" i="138"/>
  <c r="C109" i="147" s="1"/>
  <c r="D120" i="138"/>
  <c r="E120" i="138"/>
  <c r="F120" i="138"/>
  <c r="G120" i="138"/>
  <c r="H120" i="138"/>
  <c r="I120" i="138"/>
  <c r="J120" i="138"/>
  <c r="K120" i="138"/>
  <c r="L120" i="138"/>
  <c r="M120" i="138"/>
  <c r="N120" i="138"/>
  <c r="O120" i="138"/>
  <c r="P120" i="138"/>
  <c r="Q120" i="138"/>
  <c r="R120" i="138"/>
  <c r="S120" i="138"/>
  <c r="T120" i="138"/>
  <c r="U120" i="138"/>
  <c r="V120" i="138"/>
  <c r="C121" i="138"/>
  <c r="C110" i="147" s="1"/>
  <c r="D121" i="138"/>
  <c r="E121" i="138"/>
  <c r="F121" i="138"/>
  <c r="G121" i="138"/>
  <c r="H121" i="138"/>
  <c r="I121" i="138"/>
  <c r="J121" i="138"/>
  <c r="K121" i="138"/>
  <c r="L121" i="138"/>
  <c r="M121" i="138"/>
  <c r="N121" i="138"/>
  <c r="O121" i="138"/>
  <c r="P121" i="138"/>
  <c r="Q121" i="138"/>
  <c r="R121" i="138"/>
  <c r="S121" i="138"/>
  <c r="T121" i="138"/>
  <c r="U121" i="138"/>
  <c r="V121" i="138"/>
  <c r="C122" i="138"/>
  <c r="C111" i="147" s="1"/>
  <c r="D122" i="138"/>
  <c r="E122" i="138"/>
  <c r="F122" i="138"/>
  <c r="G122" i="138"/>
  <c r="H122" i="138"/>
  <c r="I122" i="138"/>
  <c r="J122" i="138"/>
  <c r="K122" i="138"/>
  <c r="L122" i="138"/>
  <c r="M122" i="138"/>
  <c r="N122" i="138"/>
  <c r="O122" i="138"/>
  <c r="P122" i="138"/>
  <c r="Q122" i="138"/>
  <c r="R122" i="138"/>
  <c r="S122" i="138"/>
  <c r="T122" i="138"/>
  <c r="U122" i="138"/>
  <c r="V122" i="138"/>
  <c r="C123" i="138"/>
  <c r="C112" i="147" s="1"/>
  <c r="D123" i="138"/>
  <c r="E123" i="138"/>
  <c r="F123" i="138"/>
  <c r="G123" i="138"/>
  <c r="H123" i="138"/>
  <c r="I123" i="138"/>
  <c r="J123" i="138"/>
  <c r="K123" i="138"/>
  <c r="L123" i="138"/>
  <c r="M123" i="138"/>
  <c r="N123" i="138"/>
  <c r="O123" i="138"/>
  <c r="P123" i="138"/>
  <c r="Q123" i="138"/>
  <c r="R123" i="138"/>
  <c r="S123" i="138"/>
  <c r="T123" i="138"/>
  <c r="U123" i="138"/>
  <c r="V123" i="138"/>
  <c r="C124" i="138"/>
  <c r="C113" i="147" s="1"/>
  <c r="D124" i="138"/>
  <c r="E124" i="138"/>
  <c r="F124" i="138"/>
  <c r="G124" i="138"/>
  <c r="H124" i="138"/>
  <c r="I124" i="138"/>
  <c r="J124" i="138"/>
  <c r="K124" i="138"/>
  <c r="L124" i="138"/>
  <c r="M124" i="138"/>
  <c r="N124" i="138"/>
  <c r="O124" i="138"/>
  <c r="P124" i="138"/>
  <c r="Q124" i="138"/>
  <c r="R124" i="138"/>
  <c r="S124" i="138"/>
  <c r="T124" i="138"/>
  <c r="U124" i="138"/>
  <c r="V124" i="138"/>
  <c r="C125" i="138"/>
  <c r="C114" i="147" s="1"/>
  <c r="D125" i="138"/>
  <c r="E125" i="138"/>
  <c r="F125" i="138"/>
  <c r="G125" i="138"/>
  <c r="H125" i="138"/>
  <c r="I125" i="138"/>
  <c r="J125" i="138"/>
  <c r="K125" i="138"/>
  <c r="L125" i="138"/>
  <c r="M125" i="138"/>
  <c r="N125" i="138"/>
  <c r="O125" i="138"/>
  <c r="P125" i="138"/>
  <c r="Q125" i="138"/>
  <c r="R125" i="138"/>
  <c r="S125" i="138"/>
  <c r="T125" i="138"/>
  <c r="U125" i="138"/>
  <c r="V125" i="138"/>
  <c r="C126" i="138"/>
  <c r="C115" i="147" s="1"/>
  <c r="D126" i="138"/>
  <c r="E126" i="138"/>
  <c r="F126" i="138"/>
  <c r="G126" i="138"/>
  <c r="H126" i="138"/>
  <c r="I126" i="138"/>
  <c r="J126" i="138"/>
  <c r="K126" i="138"/>
  <c r="L126" i="138"/>
  <c r="M126" i="138"/>
  <c r="N126" i="138"/>
  <c r="O126" i="138"/>
  <c r="P126" i="138"/>
  <c r="Q126" i="138"/>
  <c r="R126" i="138"/>
  <c r="S126" i="138"/>
  <c r="T126" i="138"/>
  <c r="U126" i="138"/>
  <c r="V126" i="138"/>
  <c r="D80" i="138"/>
  <c r="D152" i="138" s="1"/>
  <c r="E80" i="138"/>
  <c r="F80" i="138"/>
  <c r="G80" i="138"/>
  <c r="H80" i="138"/>
  <c r="I80" i="138"/>
  <c r="J80" i="138"/>
  <c r="K80" i="138"/>
  <c r="L80" i="138"/>
  <c r="M80" i="138"/>
  <c r="M152" i="138" s="1"/>
  <c r="N80" i="138"/>
  <c r="N152" i="138" s="1"/>
  <c r="O80" i="138"/>
  <c r="O152" i="138" s="1"/>
  <c r="P80" i="138"/>
  <c r="P152" i="138" s="1"/>
  <c r="Q80" i="138"/>
  <c r="R80" i="138"/>
  <c r="R152" i="138" s="1"/>
  <c r="S80" i="138"/>
  <c r="T80" i="138"/>
  <c r="T152" i="138" s="1"/>
  <c r="U80" i="138"/>
  <c r="U152" i="138" s="1"/>
  <c r="V80" i="138"/>
  <c r="C80" i="138"/>
  <c r="A128" i="138"/>
  <c r="A129" i="138"/>
  <c r="A130" i="138"/>
  <c r="A131" i="138"/>
  <c r="A132" i="138"/>
  <c r="A133" i="138"/>
  <c r="A134" i="138"/>
  <c r="A127" i="138"/>
  <c r="V216" i="138"/>
  <c r="U216" i="138"/>
  <c r="T216" i="138"/>
  <c r="S216" i="138"/>
  <c r="R216" i="138"/>
  <c r="Q216" i="138"/>
  <c r="P216" i="138"/>
  <c r="O216" i="138"/>
  <c r="N216" i="138"/>
  <c r="M216" i="138"/>
  <c r="L216" i="138"/>
  <c r="K216" i="138"/>
  <c r="J216" i="138"/>
  <c r="I216" i="138"/>
  <c r="H216" i="138"/>
  <c r="G216" i="138"/>
  <c r="F216" i="138"/>
  <c r="E216" i="138"/>
  <c r="D216" i="138"/>
  <c r="C216" i="138"/>
  <c r="V138" i="138"/>
  <c r="U138" i="138"/>
  <c r="T138" i="138"/>
  <c r="S138" i="138"/>
  <c r="R138" i="138"/>
  <c r="Q138" i="138"/>
  <c r="P138" i="138"/>
  <c r="O138" i="138"/>
  <c r="N138" i="138"/>
  <c r="M138" i="138"/>
  <c r="L138" i="138"/>
  <c r="K138" i="138"/>
  <c r="J138" i="138"/>
  <c r="I138" i="138"/>
  <c r="H138" i="138"/>
  <c r="G138" i="138"/>
  <c r="F138" i="138"/>
  <c r="E138" i="138"/>
  <c r="D138" i="138"/>
  <c r="C138" i="138"/>
  <c r="D60" i="138"/>
  <c r="E60" i="138"/>
  <c r="F60" i="138"/>
  <c r="G60" i="138"/>
  <c r="H60" i="138"/>
  <c r="I60" i="138"/>
  <c r="J60" i="138"/>
  <c r="K60" i="138"/>
  <c r="L60" i="138"/>
  <c r="M60" i="138"/>
  <c r="N60" i="138"/>
  <c r="O60" i="138"/>
  <c r="P60" i="138"/>
  <c r="Q60" i="138"/>
  <c r="R60" i="138"/>
  <c r="S60" i="138"/>
  <c r="T60" i="138"/>
  <c r="U60" i="138"/>
  <c r="V60" i="138"/>
  <c r="C60" i="138"/>
  <c r="C18" i="51"/>
  <c r="M71" i="129" l="1"/>
  <c r="P71" i="129" s="1"/>
  <c r="N71" i="129" s="1"/>
  <c r="P70" i="129"/>
  <c r="N70" i="129" s="1"/>
  <c r="K70" i="129"/>
  <c r="Q70" i="129" s="1"/>
  <c r="G69" i="147"/>
  <c r="C69" i="147"/>
  <c r="R69" i="147"/>
  <c r="T69" i="147"/>
  <c r="I69" i="147"/>
  <c r="K69" i="147"/>
  <c r="P69" i="147"/>
  <c r="U69" i="147"/>
  <c r="F69" i="147"/>
  <c r="D69" i="147"/>
  <c r="O69" i="147"/>
  <c r="V69" i="147"/>
  <c r="S69" i="147"/>
  <c r="M69" i="147"/>
  <c r="H69" i="147"/>
  <c r="L69" i="147"/>
  <c r="E69" i="147"/>
  <c r="J69" i="147"/>
  <c r="Q69" i="147"/>
  <c r="N69" i="147"/>
  <c r="Q230" i="138"/>
  <c r="L152" i="138"/>
  <c r="K230" i="138"/>
  <c r="H152" i="138"/>
  <c r="H230" i="138"/>
  <c r="G230" i="138"/>
  <c r="F152" i="138"/>
  <c r="E152" i="138"/>
  <c r="E230" i="138"/>
  <c r="V152" i="138"/>
  <c r="V230" i="138"/>
  <c r="C152" i="138"/>
  <c r="C230" i="138"/>
  <c r="S152" i="138"/>
  <c r="V115" i="147"/>
  <c r="V188" i="147"/>
  <c r="V187" i="147"/>
  <c r="V114" i="147"/>
  <c r="V186" i="147"/>
  <c r="V113" i="147"/>
  <c r="V112" i="147"/>
  <c r="V185" i="147"/>
  <c r="V184" i="147"/>
  <c r="V111" i="147"/>
  <c r="V183" i="147"/>
  <c r="V110" i="147"/>
  <c r="V109" i="147"/>
  <c r="V182" i="147"/>
  <c r="V181" i="147"/>
  <c r="V108" i="147"/>
  <c r="V107" i="147"/>
  <c r="V180" i="147"/>
  <c r="V106" i="147"/>
  <c r="V179" i="147"/>
  <c r="V178" i="147"/>
  <c r="V105" i="147"/>
  <c r="V103" i="147"/>
  <c r="V176" i="147"/>
  <c r="V175" i="147"/>
  <c r="V102" i="147"/>
  <c r="V174" i="147"/>
  <c r="V101" i="147"/>
  <c r="V100" i="147"/>
  <c r="V173" i="147"/>
  <c r="V116" i="147"/>
  <c r="V189" i="147"/>
  <c r="V99" i="147"/>
  <c r="V172" i="147"/>
  <c r="V94" i="147"/>
  <c r="V167" i="147"/>
  <c r="V166" i="147"/>
  <c r="V93" i="147"/>
  <c r="V92" i="147"/>
  <c r="V165" i="147"/>
  <c r="V91" i="147"/>
  <c r="V164" i="147"/>
  <c r="V90" i="147"/>
  <c r="V163" i="147"/>
  <c r="V89" i="147"/>
  <c r="V162" i="147"/>
  <c r="V160" i="147"/>
  <c r="V87" i="147"/>
  <c r="V86" i="147"/>
  <c r="V159" i="147"/>
  <c r="V85" i="147"/>
  <c r="V158" i="147"/>
  <c r="V88" i="147"/>
  <c r="V161" i="147"/>
  <c r="V84" i="147"/>
  <c r="V157" i="147"/>
  <c r="V83" i="147"/>
  <c r="V156" i="147"/>
  <c r="V82" i="147"/>
  <c r="V155" i="147"/>
  <c r="V154" i="147"/>
  <c r="V81" i="147"/>
  <c r="V80" i="147"/>
  <c r="V153" i="147"/>
  <c r="V104" i="147"/>
  <c r="V177" i="147"/>
  <c r="V152" i="147"/>
  <c r="V79" i="147"/>
  <c r="V78" i="147"/>
  <c r="V151" i="147"/>
  <c r="V77" i="147"/>
  <c r="V150" i="147"/>
  <c r="V76" i="147"/>
  <c r="V149" i="147"/>
  <c r="V148" i="147"/>
  <c r="V75" i="147"/>
  <c r="C170" i="147"/>
  <c r="C171" i="147"/>
  <c r="C168" i="147"/>
  <c r="C169" i="147"/>
  <c r="G186" i="147"/>
  <c r="G113" i="147"/>
  <c r="G182" i="147"/>
  <c r="G109" i="147"/>
  <c r="G106" i="147"/>
  <c r="G179" i="147"/>
  <c r="G102" i="147"/>
  <c r="G175" i="147"/>
  <c r="G100" i="147"/>
  <c r="G173" i="147"/>
  <c r="G93" i="147"/>
  <c r="G166" i="147"/>
  <c r="G165" i="147"/>
  <c r="G92" i="147"/>
  <c r="G163" i="147"/>
  <c r="G90" i="147"/>
  <c r="G87" i="147"/>
  <c r="G160" i="147"/>
  <c r="G158" i="147"/>
  <c r="G85" i="147"/>
  <c r="G157" i="147"/>
  <c r="G84" i="147"/>
  <c r="G155" i="147"/>
  <c r="G82" i="147"/>
  <c r="G81" i="147"/>
  <c r="G154" i="147"/>
  <c r="G177" i="147"/>
  <c r="G104" i="147"/>
  <c r="G150" i="147"/>
  <c r="G77" i="147"/>
  <c r="G148" i="147"/>
  <c r="G75" i="147"/>
  <c r="F115" i="147"/>
  <c r="F188" i="147"/>
  <c r="F114" i="147"/>
  <c r="F187" i="147"/>
  <c r="F186" i="147"/>
  <c r="F113" i="147"/>
  <c r="F184" i="147"/>
  <c r="F111" i="147"/>
  <c r="F109" i="147"/>
  <c r="F182" i="147"/>
  <c r="F181" i="147"/>
  <c r="F108" i="147"/>
  <c r="F180" i="147"/>
  <c r="F107" i="147"/>
  <c r="F103" i="147"/>
  <c r="F176" i="147"/>
  <c r="F102" i="147"/>
  <c r="F175" i="147"/>
  <c r="F173" i="147"/>
  <c r="F100" i="147"/>
  <c r="F116" i="147"/>
  <c r="F189" i="147"/>
  <c r="F167" i="147"/>
  <c r="F94" i="147"/>
  <c r="F93" i="147"/>
  <c r="F166" i="147"/>
  <c r="F92" i="147"/>
  <c r="F165" i="147"/>
  <c r="F163" i="147"/>
  <c r="F90" i="147"/>
  <c r="F162" i="147"/>
  <c r="F89" i="147"/>
  <c r="F159" i="147"/>
  <c r="F86" i="147"/>
  <c r="F85" i="147"/>
  <c r="F158" i="147"/>
  <c r="F157" i="147"/>
  <c r="F84" i="147"/>
  <c r="F155" i="147"/>
  <c r="F82" i="147"/>
  <c r="F81" i="147"/>
  <c r="F154" i="147"/>
  <c r="F177" i="147"/>
  <c r="F104" i="147"/>
  <c r="F79" i="147"/>
  <c r="F152" i="147"/>
  <c r="F150" i="147"/>
  <c r="F77" i="147"/>
  <c r="F75" i="147"/>
  <c r="F148" i="147"/>
  <c r="E187" i="147"/>
  <c r="E114" i="147"/>
  <c r="E183" i="147"/>
  <c r="E110" i="147"/>
  <c r="E108" i="147"/>
  <c r="E181" i="147"/>
  <c r="E179" i="147"/>
  <c r="E106" i="147"/>
  <c r="E102" i="147"/>
  <c r="E175" i="147"/>
  <c r="E189" i="147"/>
  <c r="E116" i="147"/>
  <c r="E93" i="147"/>
  <c r="E166" i="147"/>
  <c r="E92" i="147"/>
  <c r="E165" i="147"/>
  <c r="E163" i="147"/>
  <c r="E90" i="147"/>
  <c r="E160" i="147"/>
  <c r="E87" i="147"/>
  <c r="E85" i="147"/>
  <c r="E158" i="147"/>
  <c r="E84" i="147"/>
  <c r="E157" i="147"/>
  <c r="E177" i="147"/>
  <c r="E104" i="147"/>
  <c r="E151" i="147"/>
  <c r="E78" i="147"/>
  <c r="E150" i="147"/>
  <c r="E77" i="147"/>
  <c r="E148" i="147"/>
  <c r="E75" i="147"/>
  <c r="D188" i="147"/>
  <c r="D115" i="147"/>
  <c r="D113" i="147"/>
  <c r="D186" i="147"/>
  <c r="D111" i="147"/>
  <c r="D184" i="147"/>
  <c r="D108" i="147"/>
  <c r="D181" i="147"/>
  <c r="D106" i="147"/>
  <c r="D179" i="147"/>
  <c r="D105" i="147"/>
  <c r="D178" i="147"/>
  <c r="D101" i="147"/>
  <c r="D174" i="147"/>
  <c r="D94" i="147"/>
  <c r="D167" i="147"/>
  <c r="D92" i="147"/>
  <c r="D165" i="147"/>
  <c r="D90" i="147"/>
  <c r="D163" i="147"/>
  <c r="D89" i="147"/>
  <c r="D162" i="147"/>
  <c r="D159" i="147"/>
  <c r="D86" i="147"/>
  <c r="D158" i="147"/>
  <c r="D85" i="147"/>
  <c r="D157" i="147"/>
  <c r="D84" i="147"/>
  <c r="D177" i="147"/>
  <c r="D104" i="147"/>
  <c r="D152" i="147"/>
  <c r="D79" i="147"/>
  <c r="D150" i="147"/>
  <c r="D77" i="147"/>
  <c r="D149" i="147"/>
  <c r="D76" i="147"/>
  <c r="U187" i="147"/>
  <c r="U114" i="147"/>
  <c r="U185" i="147"/>
  <c r="U112" i="147"/>
  <c r="U184" i="147"/>
  <c r="U111" i="147"/>
  <c r="U109" i="147"/>
  <c r="U182" i="147"/>
  <c r="U105" i="147"/>
  <c r="U178" i="147"/>
  <c r="U116" i="147"/>
  <c r="U189" i="147"/>
  <c r="U94" i="147"/>
  <c r="U167" i="147"/>
  <c r="U92" i="147"/>
  <c r="U165" i="147"/>
  <c r="U162" i="147"/>
  <c r="U89" i="147"/>
  <c r="U86" i="147"/>
  <c r="U159" i="147"/>
  <c r="U161" i="147"/>
  <c r="U88" i="147"/>
  <c r="U156" i="147"/>
  <c r="U83" i="147"/>
  <c r="U82" i="147"/>
  <c r="U155" i="147"/>
  <c r="U177" i="147"/>
  <c r="U104" i="147"/>
  <c r="U77" i="147"/>
  <c r="U150" i="147"/>
  <c r="U76" i="147"/>
  <c r="U149" i="147"/>
  <c r="T112" i="147"/>
  <c r="T185" i="147"/>
  <c r="T181" i="147"/>
  <c r="T108" i="147"/>
  <c r="T176" i="147"/>
  <c r="T103" i="147"/>
  <c r="T116" i="147"/>
  <c r="T189" i="147"/>
  <c r="T94" i="147"/>
  <c r="T167" i="147"/>
  <c r="T163" i="147"/>
  <c r="T90" i="147"/>
  <c r="T87" i="147"/>
  <c r="T160" i="147"/>
  <c r="T161" i="147"/>
  <c r="T88" i="147"/>
  <c r="T80" i="147"/>
  <c r="T153" i="147"/>
  <c r="T151" i="147"/>
  <c r="T78" i="147"/>
  <c r="S188" i="147"/>
  <c r="S115" i="147"/>
  <c r="S111" i="147"/>
  <c r="S184" i="147"/>
  <c r="S180" i="147"/>
  <c r="S107" i="147"/>
  <c r="S105" i="147"/>
  <c r="S178" i="147"/>
  <c r="S102" i="147"/>
  <c r="S175" i="147"/>
  <c r="S173" i="147"/>
  <c r="S100" i="147"/>
  <c r="S116" i="147"/>
  <c r="S189" i="147"/>
  <c r="S99" i="147"/>
  <c r="S172" i="147"/>
  <c r="S94" i="147"/>
  <c r="S167" i="147"/>
  <c r="S91" i="147"/>
  <c r="S164" i="147"/>
  <c r="S89" i="147"/>
  <c r="S162" i="147"/>
  <c r="S161" i="147"/>
  <c r="S88" i="147"/>
  <c r="S83" i="147"/>
  <c r="S156" i="147"/>
  <c r="S80" i="147"/>
  <c r="S153" i="147"/>
  <c r="S79" i="147"/>
  <c r="S152" i="147"/>
  <c r="S150" i="147"/>
  <c r="S77" i="147"/>
  <c r="S148" i="147"/>
  <c r="S75" i="147"/>
  <c r="R115" i="147"/>
  <c r="R188" i="147"/>
  <c r="R114" i="147"/>
  <c r="R187" i="147"/>
  <c r="R111" i="147"/>
  <c r="R184" i="147"/>
  <c r="R109" i="147"/>
  <c r="R182" i="147"/>
  <c r="R107" i="147"/>
  <c r="R180" i="147"/>
  <c r="R105" i="147"/>
  <c r="R178" i="147"/>
  <c r="R174" i="147"/>
  <c r="R101" i="147"/>
  <c r="R93" i="147"/>
  <c r="R166" i="147"/>
  <c r="R165" i="147"/>
  <c r="R92" i="147"/>
  <c r="R90" i="147"/>
  <c r="R163" i="147"/>
  <c r="R86" i="147"/>
  <c r="R159" i="147"/>
  <c r="R161" i="147"/>
  <c r="R88" i="147"/>
  <c r="R156" i="147"/>
  <c r="R83" i="147"/>
  <c r="R155" i="147"/>
  <c r="R82" i="147"/>
  <c r="R153" i="147"/>
  <c r="R80" i="147"/>
  <c r="R78" i="147"/>
  <c r="R151" i="147"/>
  <c r="Q188" i="147"/>
  <c r="Q115" i="147"/>
  <c r="Q179" i="147"/>
  <c r="Q106" i="147"/>
  <c r="Q94" i="147"/>
  <c r="Q167" i="147"/>
  <c r="Q88" i="147"/>
  <c r="Q161" i="147"/>
  <c r="Q104" i="147"/>
  <c r="Q177" i="147"/>
  <c r="P187" i="147"/>
  <c r="P114" i="147"/>
  <c r="P185" i="147"/>
  <c r="P112" i="147"/>
  <c r="P184" i="147"/>
  <c r="P111" i="147"/>
  <c r="P183" i="147"/>
  <c r="P110" i="147"/>
  <c r="P180" i="147"/>
  <c r="P107" i="147"/>
  <c r="P103" i="147"/>
  <c r="P176" i="147"/>
  <c r="P174" i="147"/>
  <c r="P101" i="147"/>
  <c r="P93" i="147"/>
  <c r="P166" i="147"/>
  <c r="P163" i="147"/>
  <c r="P90" i="147"/>
  <c r="P86" i="147"/>
  <c r="P159" i="147"/>
  <c r="P88" i="147"/>
  <c r="P161" i="147"/>
  <c r="P155" i="147"/>
  <c r="P82" i="147"/>
  <c r="P81" i="147"/>
  <c r="P154" i="147"/>
  <c r="P152" i="147"/>
  <c r="P79" i="147"/>
  <c r="P151" i="147"/>
  <c r="P78" i="147"/>
  <c r="P150" i="147"/>
  <c r="P77" i="147"/>
  <c r="P75" i="147"/>
  <c r="P148" i="147"/>
  <c r="O188" i="147"/>
  <c r="O115" i="147"/>
  <c r="O114" i="147"/>
  <c r="O187" i="147"/>
  <c r="O186" i="147"/>
  <c r="O113" i="147"/>
  <c r="O185" i="147"/>
  <c r="O112" i="147"/>
  <c r="O184" i="147"/>
  <c r="O111" i="147"/>
  <c r="O183" i="147"/>
  <c r="O110" i="147"/>
  <c r="O109" i="147"/>
  <c r="O182" i="147"/>
  <c r="O108" i="147"/>
  <c r="O181" i="147"/>
  <c r="O107" i="147"/>
  <c r="O180" i="147"/>
  <c r="O179" i="147"/>
  <c r="O106" i="147"/>
  <c r="O178" i="147"/>
  <c r="O105" i="147"/>
  <c r="O103" i="147"/>
  <c r="O176" i="147"/>
  <c r="O102" i="147"/>
  <c r="O175" i="147"/>
  <c r="O101" i="147"/>
  <c r="O174" i="147"/>
  <c r="O173" i="147"/>
  <c r="O100" i="147"/>
  <c r="O116" i="147"/>
  <c r="O189" i="147"/>
  <c r="O99" i="147"/>
  <c r="O172" i="147"/>
  <c r="O94" i="147"/>
  <c r="O167" i="147"/>
  <c r="O93" i="147"/>
  <c r="O166" i="147"/>
  <c r="O92" i="147"/>
  <c r="O165" i="147"/>
  <c r="O164" i="147"/>
  <c r="O91" i="147"/>
  <c r="O163" i="147"/>
  <c r="O90" i="147"/>
  <c r="O162" i="147"/>
  <c r="O89" i="147"/>
  <c r="O87" i="147"/>
  <c r="O160" i="147"/>
  <c r="O86" i="147"/>
  <c r="O159" i="147"/>
  <c r="O85" i="147"/>
  <c r="O158" i="147"/>
  <c r="O161" i="147"/>
  <c r="O88" i="147"/>
  <c r="O84" i="147"/>
  <c r="O157" i="147"/>
  <c r="O156" i="147"/>
  <c r="O83" i="147"/>
  <c r="O155" i="147"/>
  <c r="O82" i="147"/>
  <c r="O154" i="147"/>
  <c r="O81" i="147"/>
  <c r="O80" i="147"/>
  <c r="O153" i="147"/>
  <c r="O177" i="147"/>
  <c r="O104" i="147"/>
  <c r="O152" i="147"/>
  <c r="O79" i="147"/>
  <c r="O151" i="147"/>
  <c r="O78" i="147"/>
  <c r="O150" i="147"/>
  <c r="O77" i="147"/>
  <c r="O149" i="147"/>
  <c r="O76" i="147"/>
  <c r="O75" i="147"/>
  <c r="O148" i="147"/>
  <c r="N188" i="147"/>
  <c r="N115" i="147"/>
  <c r="N187" i="147"/>
  <c r="N114" i="147"/>
  <c r="N186" i="147"/>
  <c r="N113" i="147"/>
  <c r="N185" i="147"/>
  <c r="N112" i="147"/>
  <c r="N111" i="147"/>
  <c r="N184" i="147"/>
  <c r="N110" i="147"/>
  <c r="N183" i="147"/>
  <c r="N182" i="147"/>
  <c r="N109" i="147"/>
  <c r="N181" i="147"/>
  <c r="N108" i="147"/>
  <c r="N107" i="147"/>
  <c r="N180" i="147"/>
  <c r="N179" i="147"/>
  <c r="N106" i="147"/>
  <c r="N105" i="147"/>
  <c r="N178" i="147"/>
  <c r="N103" i="147"/>
  <c r="N176" i="147"/>
  <c r="N175" i="147"/>
  <c r="N102" i="147"/>
  <c r="N101" i="147"/>
  <c r="N174" i="147"/>
  <c r="N173" i="147"/>
  <c r="N100" i="147"/>
  <c r="N116" i="147"/>
  <c r="N189" i="147"/>
  <c r="N99" i="147"/>
  <c r="N172" i="147"/>
  <c r="N167" i="147"/>
  <c r="N94" i="147"/>
  <c r="N93" i="147"/>
  <c r="N166" i="147"/>
  <c r="N165" i="147"/>
  <c r="N92" i="147"/>
  <c r="N164" i="147"/>
  <c r="N91" i="147"/>
  <c r="N163" i="147"/>
  <c r="N90" i="147"/>
  <c r="N89" i="147"/>
  <c r="N162" i="147"/>
  <c r="N160" i="147"/>
  <c r="N87" i="147"/>
  <c r="N86" i="147"/>
  <c r="N159" i="147"/>
  <c r="N158" i="147"/>
  <c r="N85" i="147"/>
  <c r="N88" i="147"/>
  <c r="N161" i="147"/>
  <c r="N84" i="147"/>
  <c r="N157" i="147"/>
  <c r="N83" i="147"/>
  <c r="N156" i="147"/>
  <c r="N155" i="147"/>
  <c r="N82" i="147"/>
  <c r="N154" i="147"/>
  <c r="N81" i="147"/>
  <c r="N80" i="147"/>
  <c r="N153" i="147"/>
  <c r="N104" i="147"/>
  <c r="N177" i="147"/>
  <c r="N79" i="147"/>
  <c r="N152" i="147"/>
  <c r="N151" i="147"/>
  <c r="N78" i="147"/>
  <c r="N77" i="147"/>
  <c r="N150" i="147"/>
  <c r="N149" i="147"/>
  <c r="N76" i="147"/>
  <c r="N148" i="147"/>
  <c r="N75" i="147"/>
  <c r="G172" i="147"/>
  <c r="G99" i="147"/>
  <c r="F110" i="147"/>
  <c r="F183" i="147"/>
  <c r="E173" i="147"/>
  <c r="E100" i="147"/>
  <c r="D189" i="147"/>
  <c r="D116" i="147"/>
  <c r="U99" i="147"/>
  <c r="U172" i="147"/>
  <c r="T91" i="147"/>
  <c r="T164" i="147"/>
  <c r="S182" i="147"/>
  <c r="S109" i="147"/>
  <c r="S76" i="147"/>
  <c r="S149" i="147"/>
  <c r="R79" i="147"/>
  <c r="R152" i="147"/>
  <c r="Q92" i="147"/>
  <c r="Q165" i="147"/>
  <c r="P116" i="147"/>
  <c r="P189" i="147"/>
  <c r="P104" i="147"/>
  <c r="P177" i="147"/>
  <c r="M172" i="147"/>
  <c r="M99" i="147"/>
  <c r="L115" i="147"/>
  <c r="L188" i="147"/>
  <c r="L187" i="147"/>
  <c r="L114" i="147"/>
  <c r="L186" i="147"/>
  <c r="L113" i="147"/>
  <c r="L112" i="147"/>
  <c r="L185" i="147"/>
  <c r="L184" i="147"/>
  <c r="L111" i="147"/>
  <c r="L183" i="147"/>
  <c r="L110" i="147"/>
  <c r="L182" i="147"/>
  <c r="L109" i="147"/>
  <c r="L108" i="147"/>
  <c r="L181" i="147"/>
  <c r="L180" i="147"/>
  <c r="L107" i="147"/>
  <c r="L179" i="147"/>
  <c r="L106" i="147"/>
  <c r="L178" i="147"/>
  <c r="L105" i="147"/>
  <c r="L103" i="147"/>
  <c r="L176" i="147"/>
  <c r="L175" i="147"/>
  <c r="L102" i="147"/>
  <c r="L101" i="147"/>
  <c r="L174" i="147"/>
  <c r="L173" i="147"/>
  <c r="L100" i="147"/>
  <c r="L189" i="147"/>
  <c r="L116" i="147"/>
  <c r="L99" i="147"/>
  <c r="L172" i="147"/>
  <c r="L94" i="147"/>
  <c r="L167" i="147"/>
  <c r="L166" i="147"/>
  <c r="L93" i="147"/>
  <c r="L165" i="147"/>
  <c r="L92" i="147"/>
  <c r="L164" i="147"/>
  <c r="L91" i="147"/>
  <c r="L163" i="147"/>
  <c r="L90" i="147"/>
  <c r="L89" i="147"/>
  <c r="L162" i="147"/>
  <c r="L160" i="147"/>
  <c r="L87" i="147"/>
  <c r="L86" i="147"/>
  <c r="L159" i="147"/>
  <c r="L85" i="147"/>
  <c r="L158" i="147"/>
  <c r="L88" i="147"/>
  <c r="L161" i="147"/>
  <c r="L84" i="147"/>
  <c r="L157" i="147"/>
  <c r="L83" i="147"/>
  <c r="L156" i="147"/>
  <c r="L82" i="147"/>
  <c r="L155" i="147"/>
  <c r="L81" i="147"/>
  <c r="L154" i="147"/>
  <c r="L80" i="147"/>
  <c r="L153" i="147"/>
  <c r="L177" i="147"/>
  <c r="L104" i="147"/>
  <c r="L79" i="147"/>
  <c r="L152" i="147"/>
  <c r="L151" i="147"/>
  <c r="L78" i="147"/>
  <c r="L150" i="147"/>
  <c r="L77" i="147"/>
  <c r="L76" i="147"/>
  <c r="L149" i="147"/>
  <c r="L75" i="147"/>
  <c r="L148" i="147"/>
  <c r="G111" i="147"/>
  <c r="G184" i="147"/>
  <c r="G151" i="147"/>
  <c r="G78" i="147"/>
  <c r="F172" i="147"/>
  <c r="F99" i="147"/>
  <c r="E80" i="147"/>
  <c r="E153" i="147"/>
  <c r="D182" i="147"/>
  <c r="D109" i="147"/>
  <c r="D82" i="147"/>
  <c r="D155" i="147"/>
  <c r="U103" i="147"/>
  <c r="U176" i="147"/>
  <c r="U148" i="147"/>
  <c r="U75" i="147"/>
  <c r="T85" i="147"/>
  <c r="T158" i="147"/>
  <c r="S176" i="147"/>
  <c r="S103" i="147"/>
  <c r="S154" i="147"/>
  <c r="S81" i="147"/>
  <c r="R185" i="147"/>
  <c r="R112" i="147"/>
  <c r="R75" i="147"/>
  <c r="R148" i="147"/>
  <c r="Q159" i="147"/>
  <c r="Q86" i="147"/>
  <c r="P115" i="147"/>
  <c r="P188" i="147"/>
  <c r="P160" i="147"/>
  <c r="P87" i="147"/>
  <c r="M174" i="147"/>
  <c r="M101" i="147"/>
  <c r="K188" i="147"/>
  <c r="K115" i="147"/>
  <c r="K187" i="147"/>
  <c r="K114" i="147"/>
  <c r="K186" i="147"/>
  <c r="K113" i="147"/>
  <c r="K185" i="147"/>
  <c r="K112" i="147"/>
  <c r="K184" i="147"/>
  <c r="K111" i="147"/>
  <c r="K183" i="147"/>
  <c r="K110" i="147"/>
  <c r="K182" i="147"/>
  <c r="K109" i="147"/>
  <c r="K181" i="147"/>
  <c r="K108" i="147"/>
  <c r="K107" i="147"/>
  <c r="K180" i="147"/>
  <c r="K179" i="147"/>
  <c r="K106" i="147"/>
  <c r="K178" i="147"/>
  <c r="K105" i="147"/>
  <c r="K176" i="147"/>
  <c r="K103" i="147"/>
  <c r="K102" i="147"/>
  <c r="K175" i="147"/>
  <c r="K101" i="147"/>
  <c r="K174" i="147"/>
  <c r="K173" i="147"/>
  <c r="K100" i="147"/>
  <c r="K189" i="147"/>
  <c r="K116" i="147"/>
  <c r="K172" i="147"/>
  <c r="K99" i="147"/>
  <c r="K167" i="147"/>
  <c r="K94" i="147"/>
  <c r="K166" i="147"/>
  <c r="K93" i="147"/>
  <c r="K165" i="147"/>
  <c r="K92" i="147"/>
  <c r="K164" i="147"/>
  <c r="K91" i="147"/>
  <c r="K163" i="147"/>
  <c r="K90" i="147"/>
  <c r="K89" i="147"/>
  <c r="K162" i="147"/>
  <c r="K160" i="147"/>
  <c r="K87" i="147"/>
  <c r="K86" i="147"/>
  <c r="K159" i="147"/>
  <c r="K158" i="147"/>
  <c r="K85" i="147"/>
  <c r="K161" i="147"/>
  <c r="K88" i="147"/>
  <c r="K84" i="147"/>
  <c r="K157" i="147"/>
  <c r="K156" i="147"/>
  <c r="K83" i="147"/>
  <c r="K155" i="147"/>
  <c r="K82" i="147"/>
  <c r="K81" i="147"/>
  <c r="K154" i="147"/>
  <c r="K80" i="147"/>
  <c r="K153" i="147"/>
  <c r="K177" i="147"/>
  <c r="K104" i="147"/>
  <c r="K152" i="147"/>
  <c r="K79" i="147"/>
  <c r="K151" i="147"/>
  <c r="K78" i="147"/>
  <c r="K150" i="147"/>
  <c r="K77" i="147"/>
  <c r="K149" i="147"/>
  <c r="K76" i="147"/>
  <c r="K148" i="147"/>
  <c r="K75" i="147"/>
  <c r="G178" i="147"/>
  <c r="G105" i="147"/>
  <c r="F76" i="147"/>
  <c r="F149" i="147"/>
  <c r="E112" i="147"/>
  <c r="E185" i="147"/>
  <c r="D164" i="147"/>
  <c r="D91" i="147"/>
  <c r="U91" i="147"/>
  <c r="U164" i="147"/>
  <c r="T187" i="147"/>
  <c r="T114" i="147"/>
  <c r="S160" i="147"/>
  <c r="S87" i="147"/>
  <c r="R108" i="147"/>
  <c r="R181" i="147"/>
  <c r="Q189" i="147"/>
  <c r="Q116" i="147"/>
  <c r="P178" i="147"/>
  <c r="P105" i="147"/>
  <c r="M184" i="147"/>
  <c r="M111" i="147"/>
  <c r="M78" i="147"/>
  <c r="M151" i="147"/>
  <c r="J188" i="147"/>
  <c r="J115" i="147"/>
  <c r="J110" i="147"/>
  <c r="J183" i="147"/>
  <c r="J178" i="147"/>
  <c r="J105" i="147"/>
  <c r="J102" i="147"/>
  <c r="J175" i="147"/>
  <c r="J174" i="147"/>
  <c r="J101" i="147"/>
  <c r="J173" i="147"/>
  <c r="J100" i="147"/>
  <c r="J116" i="147"/>
  <c r="J189" i="147"/>
  <c r="J94" i="147"/>
  <c r="J167" i="147"/>
  <c r="J93" i="147"/>
  <c r="J166" i="147"/>
  <c r="J165" i="147"/>
  <c r="J92" i="147"/>
  <c r="J91" i="147"/>
  <c r="J164" i="147"/>
  <c r="J163" i="147"/>
  <c r="J90" i="147"/>
  <c r="J162" i="147"/>
  <c r="J89" i="147"/>
  <c r="J160" i="147"/>
  <c r="J87" i="147"/>
  <c r="J159" i="147"/>
  <c r="J86" i="147"/>
  <c r="J85" i="147"/>
  <c r="J158" i="147"/>
  <c r="J88" i="147"/>
  <c r="J161" i="147"/>
  <c r="J84" i="147"/>
  <c r="J157" i="147"/>
  <c r="J156" i="147"/>
  <c r="J83" i="147"/>
  <c r="J155" i="147"/>
  <c r="J82" i="147"/>
  <c r="J81" i="147"/>
  <c r="J154" i="147"/>
  <c r="J80" i="147"/>
  <c r="J153" i="147"/>
  <c r="J104" i="147"/>
  <c r="J177" i="147"/>
  <c r="J152" i="147"/>
  <c r="J79" i="147"/>
  <c r="J78" i="147"/>
  <c r="J151" i="147"/>
  <c r="J77" i="147"/>
  <c r="J150" i="147"/>
  <c r="J149" i="147"/>
  <c r="J76" i="147"/>
  <c r="J148" i="147"/>
  <c r="J75" i="147"/>
  <c r="C142" i="147"/>
  <c r="F105" i="147"/>
  <c r="F178" i="147"/>
  <c r="E178" i="147"/>
  <c r="E105" i="147"/>
  <c r="E76" i="147"/>
  <c r="E149" i="147"/>
  <c r="D88" i="147"/>
  <c r="D161" i="147"/>
  <c r="U174" i="147"/>
  <c r="U101" i="147"/>
  <c r="T157" i="147"/>
  <c r="T84" i="147"/>
  <c r="S158" i="147"/>
  <c r="S85" i="147"/>
  <c r="R189" i="147"/>
  <c r="R116" i="147"/>
  <c r="Q149" i="147"/>
  <c r="Q76" i="147"/>
  <c r="P165" i="147"/>
  <c r="P92" i="147"/>
  <c r="M153" i="147"/>
  <c r="M80" i="147"/>
  <c r="J185" i="147"/>
  <c r="J112" i="147"/>
  <c r="I111" i="147"/>
  <c r="I184" i="147"/>
  <c r="I109" i="147"/>
  <c r="I182" i="147"/>
  <c r="I180" i="147"/>
  <c r="I107" i="147"/>
  <c r="I179" i="147"/>
  <c r="I106" i="147"/>
  <c r="I176" i="147"/>
  <c r="I103" i="147"/>
  <c r="I102" i="147"/>
  <c r="I175" i="147"/>
  <c r="I101" i="147"/>
  <c r="I174" i="147"/>
  <c r="I173" i="147"/>
  <c r="I100" i="147"/>
  <c r="I116" i="147"/>
  <c r="I189" i="147"/>
  <c r="I99" i="147"/>
  <c r="I172" i="147"/>
  <c r="I94" i="147"/>
  <c r="I167" i="147"/>
  <c r="I166" i="147"/>
  <c r="I93" i="147"/>
  <c r="I92" i="147"/>
  <c r="I165" i="147"/>
  <c r="I164" i="147"/>
  <c r="I91" i="147"/>
  <c r="I163" i="147"/>
  <c r="I90" i="147"/>
  <c r="I89" i="147"/>
  <c r="I162" i="147"/>
  <c r="I87" i="147"/>
  <c r="I160" i="147"/>
  <c r="I159" i="147"/>
  <c r="I86" i="147"/>
  <c r="I158" i="147"/>
  <c r="I85" i="147"/>
  <c r="I161" i="147"/>
  <c r="I88" i="147"/>
  <c r="I157" i="147"/>
  <c r="I84" i="147"/>
  <c r="I156" i="147"/>
  <c r="I83" i="147"/>
  <c r="I155" i="147"/>
  <c r="I82" i="147"/>
  <c r="I154" i="147"/>
  <c r="I81" i="147"/>
  <c r="I80" i="147"/>
  <c r="I153" i="147"/>
  <c r="I177" i="147"/>
  <c r="I104" i="147"/>
  <c r="I152" i="147"/>
  <c r="I79" i="147"/>
  <c r="I151" i="147"/>
  <c r="I78" i="147"/>
  <c r="I150" i="147"/>
  <c r="I77" i="147"/>
  <c r="I76" i="147"/>
  <c r="I149" i="147"/>
  <c r="I148" i="147"/>
  <c r="I75" i="147"/>
  <c r="G188" i="147"/>
  <c r="G115" i="147"/>
  <c r="G114" i="147"/>
  <c r="G187" i="147"/>
  <c r="G185" i="147"/>
  <c r="G112" i="147"/>
  <c r="G110" i="147"/>
  <c r="G183" i="147"/>
  <c r="G108" i="147"/>
  <c r="G181" i="147"/>
  <c r="G107" i="147"/>
  <c r="G180" i="147"/>
  <c r="G176" i="147"/>
  <c r="G103" i="147"/>
  <c r="G101" i="147"/>
  <c r="G174" i="147"/>
  <c r="G116" i="147"/>
  <c r="G189" i="147"/>
  <c r="G94" i="147"/>
  <c r="G167" i="147"/>
  <c r="G91" i="147"/>
  <c r="G164" i="147"/>
  <c r="G162" i="147"/>
  <c r="G89" i="147"/>
  <c r="G86" i="147"/>
  <c r="G159" i="147"/>
  <c r="G161" i="147"/>
  <c r="G88" i="147"/>
  <c r="G156" i="147"/>
  <c r="G83" i="147"/>
  <c r="G153" i="147"/>
  <c r="G80" i="147"/>
  <c r="G152" i="147"/>
  <c r="G79" i="147"/>
  <c r="G76" i="147"/>
  <c r="G149" i="147"/>
  <c r="G152" i="138"/>
  <c r="F185" i="147"/>
  <c r="F112" i="147"/>
  <c r="F179" i="147"/>
  <c r="F106" i="147"/>
  <c r="F101" i="147"/>
  <c r="F174" i="147"/>
  <c r="F91" i="147"/>
  <c r="F164" i="147"/>
  <c r="F160" i="147"/>
  <c r="F87" i="147"/>
  <c r="F88" i="147"/>
  <c r="F161" i="147"/>
  <c r="F83" i="147"/>
  <c r="F156" i="147"/>
  <c r="F80" i="147"/>
  <c r="F153" i="147"/>
  <c r="F78" i="147"/>
  <c r="F151" i="147"/>
  <c r="E188" i="147"/>
  <c r="E115" i="147"/>
  <c r="E113" i="147"/>
  <c r="E186" i="147"/>
  <c r="E184" i="147"/>
  <c r="E111" i="147"/>
  <c r="E182" i="147"/>
  <c r="E109" i="147"/>
  <c r="E107" i="147"/>
  <c r="E180" i="147"/>
  <c r="E103" i="147"/>
  <c r="E176" i="147"/>
  <c r="E174" i="147"/>
  <c r="E101" i="147"/>
  <c r="E172" i="147"/>
  <c r="E99" i="147"/>
  <c r="E94" i="147"/>
  <c r="E167" i="147"/>
  <c r="E91" i="147"/>
  <c r="E164" i="147"/>
  <c r="E162" i="147"/>
  <c r="E89" i="147"/>
  <c r="E159" i="147"/>
  <c r="E86" i="147"/>
  <c r="E161" i="147"/>
  <c r="E88" i="147"/>
  <c r="E83" i="147"/>
  <c r="E156" i="147"/>
  <c r="E155" i="147"/>
  <c r="E82" i="147"/>
  <c r="E154" i="147"/>
  <c r="E81" i="147"/>
  <c r="E79" i="147"/>
  <c r="E152" i="147"/>
  <c r="D114" i="147"/>
  <c r="D187" i="147"/>
  <c r="D112" i="147"/>
  <c r="D185" i="147"/>
  <c r="D110" i="147"/>
  <c r="D183" i="147"/>
  <c r="D180" i="147"/>
  <c r="D107" i="147"/>
  <c r="D176" i="147"/>
  <c r="D103" i="147"/>
  <c r="D175" i="147"/>
  <c r="D102" i="147"/>
  <c r="D173" i="147"/>
  <c r="D100" i="147"/>
  <c r="D99" i="147"/>
  <c r="D172" i="147"/>
  <c r="D166" i="147"/>
  <c r="D93" i="147"/>
  <c r="D160" i="147"/>
  <c r="D87" i="147"/>
  <c r="D83" i="147"/>
  <c r="D156" i="147"/>
  <c r="D154" i="147"/>
  <c r="D81" i="147"/>
  <c r="D80" i="147"/>
  <c r="D153" i="147"/>
  <c r="D78" i="147"/>
  <c r="D151" i="147"/>
  <c r="D148" i="147"/>
  <c r="D75" i="147"/>
  <c r="U188" i="147"/>
  <c r="U115" i="147"/>
  <c r="U186" i="147"/>
  <c r="U113" i="147"/>
  <c r="U183" i="147"/>
  <c r="U110" i="147"/>
  <c r="U181" i="147"/>
  <c r="U108" i="147"/>
  <c r="U180" i="147"/>
  <c r="U107" i="147"/>
  <c r="U179" i="147"/>
  <c r="U106" i="147"/>
  <c r="U102" i="147"/>
  <c r="U175" i="147"/>
  <c r="U100" i="147"/>
  <c r="U173" i="147"/>
  <c r="U166" i="147"/>
  <c r="U93" i="147"/>
  <c r="U90" i="147"/>
  <c r="U163" i="147"/>
  <c r="U87" i="147"/>
  <c r="U160" i="147"/>
  <c r="U158" i="147"/>
  <c r="U85" i="147"/>
  <c r="U157" i="147"/>
  <c r="U84" i="147"/>
  <c r="U81" i="147"/>
  <c r="U154" i="147"/>
  <c r="U80" i="147"/>
  <c r="U153" i="147"/>
  <c r="U79" i="147"/>
  <c r="U152" i="147"/>
  <c r="U78" i="147"/>
  <c r="U151" i="147"/>
  <c r="T115" i="147"/>
  <c r="T188" i="147"/>
  <c r="T186" i="147"/>
  <c r="T113" i="147"/>
  <c r="T184" i="147"/>
  <c r="T111" i="147"/>
  <c r="T110" i="147"/>
  <c r="T183" i="147"/>
  <c r="T182" i="147"/>
  <c r="T109" i="147"/>
  <c r="T107" i="147"/>
  <c r="T180" i="147"/>
  <c r="T179" i="147"/>
  <c r="T106" i="147"/>
  <c r="T105" i="147"/>
  <c r="T178" i="147"/>
  <c r="T102" i="147"/>
  <c r="T175" i="147"/>
  <c r="T174" i="147"/>
  <c r="T101" i="147"/>
  <c r="T100" i="147"/>
  <c r="T173" i="147"/>
  <c r="T172" i="147"/>
  <c r="T99" i="147"/>
  <c r="T166" i="147"/>
  <c r="T93" i="147"/>
  <c r="T165" i="147"/>
  <c r="T92" i="147"/>
  <c r="T162" i="147"/>
  <c r="T89" i="147"/>
  <c r="T86" i="147"/>
  <c r="T159" i="147"/>
  <c r="T156" i="147"/>
  <c r="T83" i="147"/>
  <c r="T82" i="147"/>
  <c r="T155" i="147"/>
  <c r="T81" i="147"/>
  <c r="T154" i="147"/>
  <c r="T177" i="147"/>
  <c r="T104" i="147"/>
  <c r="T152" i="147"/>
  <c r="T79" i="147"/>
  <c r="T77" i="147"/>
  <c r="T150" i="147"/>
  <c r="T149" i="147"/>
  <c r="T76" i="147"/>
  <c r="T75" i="147"/>
  <c r="T148" i="147"/>
  <c r="S187" i="147"/>
  <c r="S114" i="147"/>
  <c r="S186" i="147"/>
  <c r="S113" i="147"/>
  <c r="S112" i="147"/>
  <c r="S185" i="147"/>
  <c r="S183" i="147"/>
  <c r="S110" i="147"/>
  <c r="S181" i="147"/>
  <c r="S108" i="147"/>
  <c r="S179" i="147"/>
  <c r="S106" i="147"/>
  <c r="S174" i="147"/>
  <c r="S101" i="147"/>
  <c r="S166" i="147"/>
  <c r="S93" i="147"/>
  <c r="S92" i="147"/>
  <c r="S165" i="147"/>
  <c r="S163" i="147"/>
  <c r="S90" i="147"/>
  <c r="S86" i="147"/>
  <c r="S159" i="147"/>
  <c r="S157" i="147"/>
  <c r="S84" i="147"/>
  <c r="S82" i="147"/>
  <c r="S155" i="147"/>
  <c r="S177" i="147"/>
  <c r="S104" i="147"/>
  <c r="S151" i="147"/>
  <c r="S78" i="147"/>
  <c r="R113" i="147"/>
  <c r="R186" i="147"/>
  <c r="R110" i="147"/>
  <c r="R183" i="147"/>
  <c r="R106" i="147"/>
  <c r="R179" i="147"/>
  <c r="R176" i="147"/>
  <c r="R103" i="147"/>
  <c r="R175" i="147"/>
  <c r="R102" i="147"/>
  <c r="R100" i="147"/>
  <c r="R173" i="147"/>
  <c r="R99" i="147"/>
  <c r="R172" i="147"/>
  <c r="R167" i="147"/>
  <c r="R94" i="147"/>
  <c r="R164" i="147"/>
  <c r="R91" i="147"/>
  <c r="R89" i="147"/>
  <c r="R162" i="147"/>
  <c r="R87" i="147"/>
  <c r="R160" i="147"/>
  <c r="R85" i="147"/>
  <c r="R158" i="147"/>
  <c r="R84" i="147"/>
  <c r="R157" i="147"/>
  <c r="R154" i="147"/>
  <c r="R81" i="147"/>
  <c r="R177" i="147"/>
  <c r="R104" i="147"/>
  <c r="R77" i="147"/>
  <c r="R150" i="147"/>
  <c r="R76" i="147"/>
  <c r="R149" i="147"/>
  <c r="Q187" i="147"/>
  <c r="Q114" i="147"/>
  <c r="Q186" i="147"/>
  <c r="Q113" i="147"/>
  <c r="Q185" i="147"/>
  <c r="Q112" i="147"/>
  <c r="Q111" i="147"/>
  <c r="Q184" i="147"/>
  <c r="Q183" i="147"/>
  <c r="Q110" i="147"/>
  <c r="Q182" i="147"/>
  <c r="Q109" i="147"/>
  <c r="Q181" i="147"/>
  <c r="Q108" i="147"/>
  <c r="Q180" i="147"/>
  <c r="Q107" i="147"/>
  <c r="Q105" i="147"/>
  <c r="Q178" i="147"/>
  <c r="Q176" i="147"/>
  <c r="Q103" i="147"/>
  <c r="Q175" i="147"/>
  <c r="Q102" i="147"/>
  <c r="Q101" i="147"/>
  <c r="Q174" i="147"/>
  <c r="Q173" i="147"/>
  <c r="Q100" i="147"/>
  <c r="Q172" i="147"/>
  <c r="Q99" i="147"/>
  <c r="Q93" i="147"/>
  <c r="Q166" i="147"/>
  <c r="Q164" i="147"/>
  <c r="Q91" i="147"/>
  <c r="Q90" i="147"/>
  <c r="Q163" i="147"/>
  <c r="Q162" i="147"/>
  <c r="Q89" i="147"/>
  <c r="Q160" i="147"/>
  <c r="Q87" i="147"/>
  <c r="Q158" i="147"/>
  <c r="Q85" i="147"/>
  <c r="Q84" i="147"/>
  <c r="Q157" i="147"/>
  <c r="Q83" i="147"/>
  <c r="Q156" i="147"/>
  <c r="Q155" i="147"/>
  <c r="Q82" i="147"/>
  <c r="Q154" i="147"/>
  <c r="Q81" i="147"/>
  <c r="Q153" i="147"/>
  <c r="Q80" i="147"/>
  <c r="Q152" i="147"/>
  <c r="Q79" i="147"/>
  <c r="Q151" i="147"/>
  <c r="Q78" i="147"/>
  <c r="Q150" i="147"/>
  <c r="Q77" i="147"/>
  <c r="Q148" i="147"/>
  <c r="Q75" i="147"/>
  <c r="Q152" i="138"/>
  <c r="P186" i="147"/>
  <c r="P113" i="147"/>
  <c r="P182" i="147"/>
  <c r="P109" i="147"/>
  <c r="P181" i="147"/>
  <c r="P108" i="147"/>
  <c r="P179" i="147"/>
  <c r="P106" i="147"/>
  <c r="P102" i="147"/>
  <c r="P175" i="147"/>
  <c r="P100" i="147"/>
  <c r="P173" i="147"/>
  <c r="P172" i="147"/>
  <c r="P99" i="147"/>
  <c r="P167" i="147"/>
  <c r="P94" i="147"/>
  <c r="P164" i="147"/>
  <c r="P91" i="147"/>
  <c r="P162" i="147"/>
  <c r="P89" i="147"/>
  <c r="P85" i="147"/>
  <c r="P158" i="147"/>
  <c r="P157" i="147"/>
  <c r="P84" i="147"/>
  <c r="P156" i="147"/>
  <c r="P83" i="147"/>
  <c r="P80" i="147"/>
  <c r="P153" i="147"/>
  <c r="P149" i="147"/>
  <c r="P76" i="147"/>
  <c r="M115" i="147"/>
  <c r="M188" i="147"/>
  <c r="M114" i="147"/>
  <c r="M187" i="147"/>
  <c r="M186" i="147"/>
  <c r="M113" i="147"/>
  <c r="M112" i="147"/>
  <c r="M185" i="147"/>
  <c r="M183" i="147"/>
  <c r="M110" i="147"/>
  <c r="M182" i="147"/>
  <c r="M109" i="147"/>
  <c r="M181" i="147"/>
  <c r="M108" i="147"/>
  <c r="M180" i="147"/>
  <c r="M107" i="147"/>
  <c r="M106" i="147"/>
  <c r="M179" i="147"/>
  <c r="M105" i="147"/>
  <c r="M178" i="147"/>
  <c r="M176" i="147"/>
  <c r="M103" i="147"/>
  <c r="M175" i="147"/>
  <c r="M102" i="147"/>
  <c r="M173" i="147"/>
  <c r="M100" i="147"/>
  <c r="M116" i="147"/>
  <c r="M189" i="147"/>
  <c r="M94" i="147"/>
  <c r="M167" i="147"/>
  <c r="M93" i="147"/>
  <c r="M166" i="147"/>
  <c r="M165" i="147"/>
  <c r="M92" i="147"/>
  <c r="M164" i="147"/>
  <c r="M91" i="147"/>
  <c r="M90" i="147"/>
  <c r="M163" i="147"/>
  <c r="M89" i="147"/>
  <c r="M162" i="147"/>
  <c r="M160" i="147"/>
  <c r="M87" i="147"/>
  <c r="M86" i="147"/>
  <c r="M159" i="147"/>
  <c r="M158" i="147"/>
  <c r="M85" i="147"/>
  <c r="M88" i="147"/>
  <c r="M161" i="147"/>
  <c r="M157" i="147"/>
  <c r="M84" i="147"/>
  <c r="M156" i="147"/>
  <c r="M83" i="147"/>
  <c r="M155" i="147"/>
  <c r="M82" i="147"/>
  <c r="M81" i="147"/>
  <c r="M154" i="147"/>
  <c r="M104" i="147"/>
  <c r="M177" i="147"/>
  <c r="M79" i="147"/>
  <c r="M152" i="147"/>
  <c r="M77" i="147"/>
  <c r="M150" i="147"/>
  <c r="M149" i="147"/>
  <c r="M76" i="147"/>
  <c r="M75" i="147"/>
  <c r="M148" i="147"/>
  <c r="J114" i="147"/>
  <c r="J187" i="147"/>
  <c r="J113" i="147"/>
  <c r="J186" i="147"/>
  <c r="J184" i="147"/>
  <c r="J111" i="147"/>
  <c r="J182" i="147"/>
  <c r="J109" i="147"/>
  <c r="J181" i="147"/>
  <c r="J108" i="147"/>
  <c r="J107" i="147"/>
  <c r="J180" i="147"/>
  <c r="J106" i="147"/>
  <c r="J179" i="147"/>
  <c r="J103" i="147"/>
  <c r="J176" i="147"/>
  <c r="J172" i="147"/>
  <c r="J99" i="147"/>
  <c r="I188" i="147"/>
  <c r="I115" i="147"/>
  <c r="I187" i="147"/>
  <c r="I114" i="147"/>
  <c r="I113" i="147"/>
  <c r="I186" i="147"/>
  <c r="I112" i="147"/>
  <c r="I185" i="147"/>
  <c r="I183" i="147"/>
  <c r="I110" i="147"/>
  <c r="I108" i="147"/>
  <c r="I181" i="147"/>
  <c r="I178" i="147"/>
  <c r="I105" i="147"/>
  <c r="H188" i="147"/>
  <c r="H115" i="147"/>
  <c r="H187" i="147"/>
  <c r="H114" i="147"/>
  <c r="H113" i="147"/>
  <c r="H186" i="147"/>
  <c r="H185" i="147"/>
  <c r="H112" i="147"/>
  <c r="H184" i="147"/>
  <c r="H111" i="147"/>
  <c r="H110" i="147"/>
  <c r="H183" i="147"/>
  <c r="H109" i="147"/>
  <c r="H182" i="147"/>
  <c r="H181" i="147"/>
  <c r="H108" i="147"/>
  <c r="H180" i="147"/>
  <c r="H107" i="147"/>
  <c r="H106" i="147"/>
  <c r="H179" i="147"/>
  <c r="H105" i="147"/>
  <c r="H178" i="147"/>
  <c r="H103" i="147"/>
  <c r="H176" i="147"/>
  <c r="H175" i="147"/>
  <c r="H102" i="147"/>
  <c r="H101" i="147"/>
  <c r="H174" i="147"/>
  <c r="H173" i="147"/>
  <c r="H100" i="147"/>
  <c r="H116" i="147"/>
  <c r="H189" i="147"/>
  <c r="H99" i="147"/>
  <c r="H172" i="147"/>
  <c r="H94" i="147"/>
  <c r="H167" i="147"/>
  <c r="H93" i="147"/>
  <c r="H166" i="147"/>
  <c r="H165" i="147"/>
  <c r="H92" i="147"/>
  <c r="H164" i="147"/>
  <c r="H91" i="147"/>
  <c r="H90" i="147"/>
  <c r="H163" i="147"/>
  <c r="H162" i="147"/>
  <c r="H89" i="147"/>
  <c r="H87" i="147"/>
  <c r="H160" i="147"/>
  <c r="H86" i="147"/>
  <c r="H159" i="147"/>
  <c r="H85" i="147"/>
  <c r="H158" i="147"/>
  <c r="H88" i="147"/>
  <c r="H161" i="147"/>
  <c r="H157" i="147"/>
  <c r="H84" i="147"/>
  <c r="H156" i="147"/>
  <c r="H83" i="147"/>
  <c r="H82" i="147"/>
  <c r="H155" i="147"/>
  <c r="H81" i="147"/>
  <c r="H154" i="147"/>
  <c r="H153" i="147"/>
  <c r="H80" i="147"/>
  <c r="H177" i="147"/>
  <c r="H104" i="147"/>
  <c r="H79" i="147"/>
  <c r="H152" i="147"/>
  <c r="H78" i="147"/>
  <c r="H151" i="147"/>
  <c r="H150" i="147"/>
  <c r="H77" i="147"/>
  <c r="H149" i="147"/>
  <c r="H76" i="147"/>
  <c r="H148" i="147"/>
  <c r="H75" i="147"/>
  <c r="Z20" i="132"/>
  <c r="K71" i="129" l="1"/>
  <c r="AA16" i="132"/>
  <c r="AA17" i="132"/>
  <c r="AA18" i="132"/>
  <c r="AA11" i="132"/>
  <c r="AA15" i="132"/>
  <c r="AA14" i="132"/>
  <c r="AA13" i="132"/>
  <c r="AA12" i="132"/>
  <c r="K142" i="147"/>
  <c r="O215" i="147"/>
  <c r="Q142" i="147"/>
  <c r="L215" i="147"/>
  <c r="O142" i="147"/>
  <c r="P215" i="147"/>
  <c r="E215" i="147"/>
  <c r="H142" i="147"/>
  <c r="Q215" i="147"/>
  <c r="M215" i="147"/>
  <c r="T142" i="147"/>
  <c r="I142" i="147"/>
  <c r="N142" i="147"/>
  <c r="R215" i="147"/>
  <c r="G142" i="147"/>
  <c r="P142" i="147"/>
  <c r="T215" i="147"/>
  <c r="M142" i="147"/>
  <c r="D142" i="147"/>
  <c r="I215" i="147"/>
  <c r="U142" i="147"/>
  <c r="N215" i="147"/>
  <c r="G215" i="147"/>
  <c r="U215" i="147"/>
  <c r="F215" i="147"/>
  <c r="J142" i="147"/>
  <c r="V142" i="147"/>
  <c r="V215" i="147"/>
  <c r="L142" i="147"/>
  <c r="F142" i="147"/>
  <c r="J215" i="147"/>
  <c r="K215" i="147"/>
  <c r="S142" i="147"/>
  <c r="S215" i="147"/>
  <c r="E142" i="147"/>
  <c r="R142" i="147"/>
  <c r="H215" i="147"/>
  <c r="C215" i="147"/>
  <c r="D215" i="147"/>
  <c r="K72" i="129" l="1"/>
  <c r="Q71" i="129"/>
  <c r="AA20" i="132"/>
  <c r="C3" i="133"/>
  <c r="D3" i="133"/>
  <c r="E3" i="133"/>
  <c r="F3" i="133"/>
  <c r="G3" i="133"/>
  <c r="H3" i="133"/>
  <c r="I3" i="133"/>
  <c r="J3" i="133"/>
  <c r="K3" i="133"/>
  <c r="L3" i="133"/>
  <c r="M3" i="133"/>
  <c r="M3" i="134" s="1"/>
  <c r="N3" i="133"/>
  <c r="N3" i="134" s="1"/>
  <c r="O3" i="133"/>
  <c r="O3" i="134" s="1"/>
  <c r="P3" i="133"/>
  <c r="Q3" i="133"/>
  <c r="Q3" i="134" s="1"/>
  <c r="R3" i="133"/>
  <c r="R3" i="134" s="1"/>
  <c r="S3" i="133"/>
  <c r="S3" i="134" s="1"/>
  <c r="T3" i="133"/>
  <c r="T3" i="134" s="1"/>
  <c r="U3" i="133"/>
  <c r="U3" i="134" s="1"/>
  <c r="V3" i="133"/>
  <c r="C4" i="133"/>
  <c r="D4" i="133"/>
  <c r="E4" i="133"/>
  <c r="F4" i="133"/>
  <c r="G4" i="133"/>
  <c r="G4" i="134" s="1"/>
  <c r="H4" i="133"/>
  <c r="H4" i="134" s="1"/>
  <c r="I4" i="133"/>
  <c r="I4" i="134" s="1"/>
  <c r="J4" i="133"/>
  <c r="J4" i="134" s="1"/>
  <c r="K4" i="133"/>
  <c r="L4" i="133"/>
  <c r="M4" i="133"/>
  <c r="N4" i="133"/>
  <c r="N4" i="134" s="1"/>
  <c r="O4" i="133"/>
  <c r="O4" i="134" s="1"/>
  <c r="P4" i="133"/>
  <c r="P4" i="134" s="1"/>
  <c r="Q4" i="133"/>
  <c r="Q4" i="134" s="1"/>
  <c r="R4" i="133"/>
  <c r="R4" i="134" s="1"/>
  <c r="S4" i="133"/>
  <c r="S4" i="134" s="1"/>
  <c r="T4" i="133"/>
  <c r="U4" i="133"/>
  <c r="V4" i="133"/>
  <c r="C6" i="133"/>
  <c r="D6" i="133"/>
  <c r="E6" i="133"/>
  <c r="F6" i="133"/>
  <c r="G6" i="133"/>
  <c r="H6" i="133"/>
  <c r="I6" i="133"/>
  <c r="J6" i="133"/>
  <c r="K6" i="133"/>
  <c r="L6" i="133"/>
  <c r="M6" i="133"/>
  <c r="M6" i="134" s="1"/>
  <c r="N6" i="133"/>
  <c r="N6" i="134" s="1"/>
  <c r="O6" i="133"/>
  <c r="P6" i="133"/>
  <c r="Q6" i="133"/>
  <c r="R6" i="133"/>
  <c r="S6" i="133"/>
  <c r="S6" i="134" s="1"/>
  <c r="T6" i="133"/>
  <c r="U6" i="133"/>
  <c r="V6" i="133"/>
  <c r="C7" i="133"/>
  <c r="D7" i="133"/>
  <c r="E7" i="133"/>
  <c r="F7" i="133"/>
  <c r="G7" i="133"/>
  <c r="H7" i="133"/>
  <c r="I7" i="133"/>
  <c r="J7" i="133"/>
  <c r="K7" i="133"/>
  <c r="L7" i="133"/>
  <c r="L7" i="134" s="1"/>
  <c r="M7" i="133"/>
  <c r="M7" i="134" s="1"/>
  <c r="N7" i="133"/>
  <c r="N7" i="134" s="1"/>
  <c r="O7" i="133"/>
  <c r="O7" i="134" s="1"/>
  <c r="P7" i="133"/>
  <c r="P7" i="134" s="1"/>
  <c r="Q7" i="133"/>
  <c r="R7" i="133"/>
  <c r="R7" i="134" s="1"/>
  <c r="S7" i="133"/>
  <c r="T7" i="133"/>
  <c r="T7" i="134" s="1"/>
  <c r="U7" i="133"/>
  <c r="V7" i="133"/>
  <c r="C8" i="133"/>
  <c r="D8" i="133"/>
  <c r="E8" i="133"/>
  <c r="F8" i="133"/>
  <c r="G8" i="133"/>
  <c r="G8" i="134" s="1"/>
  <c r="H8" i="133"/>
  <c r="H8" i="134" s="1"/>
  <c r="I8" i="133"/>
  <c r="I8" i="134" s="1"/>
  <c r="J8" i="133"/>
  <c r="J8" i="134" s="1"/>
  <c r="K8" i="133"/>
  <c r="L8" i="133"/>
  <c r="M8" i="133"/>
  <c r="N8" i="133"/>
  <c r="N8" i="134" s="1"/>
  <c r="O8" i="133"/>
  <c r="P8" i="133"/>
  <c r="Q8" i="133"/>
  <c r="R8" i="133"/>
  <c r="S8" i="133"/>
  <c r="T8" i="133"/>
  <c r="T8" i="134" s="1"/>
  <c r="U8" i="133"/>
  <c r="U8" i="134" s="1"/>
  <c r="V8" i="133"/>
  <c r="C10" i="133"/>
  <c r="D10" i="133"/>
  <c r="E10" i="133"/>
  <c r="F10" i="133"/>
  <c r="G10" i="133"/>
  <c r="H10" i="133"/>
  <c r="I10" i="133"/>
  <c r="J10" i="133"/>
  <c r="K10" i="133"/>
  <c r="L10" i="133"/>
  <c r="M10" i="133"/>
  <c r="M10" i="134" s="1"/>
  <c r="N10" i="133"/>
  <c r="N10" i="134" s="1"/>
  <c r="O10" i="133"/>
  <c r="P10" i="133"/>
  <c r="P10" i="134" s="1"/>
  <c r="Q10" i="133"/>
  <c r="Q10" i="134" s="1"/>
  <c r="R10" i="133"/>
  <c r="R10" i="134" s="1"/>
  <c r="S10" i="133"/>
  <c r="S10" i="134" s="1"/>
  <c r="T10" i="133"/>
  <c r="U10" i="133"/>
  <c r="V10" i="133"/>
  <c r="C13" i="133"/>
  <c r="D13" i="133"/>
  <c r="E13" i="133"/>
  <c r="F13" i="133"/>
  <c r="G13" i="133"/>
  <c r="H13" i="133"/>
  <c r="I13" i="133"/>
  <c r="J13" i="133"/>
  <c r="K13" i="133"/>
  <c r="L13" i="133"/>
  <c r="L13" i="134" s="1"/>
  <c r="M13" i="133"/>
  <c r="M13" i="134" s="1"/>
  <c r="N13" i="133"/>
  <c r="N13" i="134" s="1"/>
  <c r="O13" i="133"/>
  <c r="O13" i="134" s="1"/>
  <c r="P13" i="133"/>
  <c r="Q13" i="133"/>
  <c r="R13" i="133"/>
  <c r="S13" i="133"/>
  <c r="T13" i="133"/>
  <c r="U13" i="133"/>
  <c r="V13" i="133"/>
  <c r="C14" i="133"/>
  <c r="D14" i="133"/>
  <c r="E14" i="133"/>
  <c r="F14" i="133"/>
  <c r="G14" i="133"/>
  <c r="H14" i="133"/>
  <c r="I14" i="133"/>
  <c r="J14" i="133"/>
  <c r="K14" i="133"/>
  <c r="L14" i="133"/>
  <c r="L14" i="134" s="1"/>
  <c r="M14" i="133"/>
  <c r="M14" i="134" s="1"/>
  <c r="N14" i="133"/>
  <c r="N14" i="134" s="1"/>
  <c r="O14" i="133"/>
  <c r="O14" i="134" s="1"/>
  <c r="P14" i="133"/>
  <c r="Q14" i="133"/>
  <c r="R14" i="133"/>
  <c r="R14" i="134" s="1"/>
  <c r="S14" i="133"/>
  <c r="S14" i="134" s="1"/>
  <c r="T14" i="133"/>
  <c r="T14" i="134" s="1"/>
  <c r="U14" i="133"/>
  <c r="V14" i="133"/>
  <c r="C19" i="133"/>
  <c r="D19" i="133"/>
  <c r="E19" i="133"/>
  <c r="F19" i="133"/>
  <c r="G19" i="133"/>
  <c r="H19" i="133"/>
  <c r="I19" i="133"/>
  <c r="J19" i="133"/>
  <c r="K19" i="133"/>
  <c r="L19" i="133"/>
  <c r="M19" i="133"/>
  <c r="N19" i="133"/>
  <c r="O19" i="133"/>
  <c r="O19" i="134" s="1"/>
  <c r="P19" i="133"/>
  <c r="Q19" i="133"/>
  <c r="R19" i="133"/>
  <c r="R19" i="134" s="1"/>
  <c r="S19" i="133"/>
  <c r="S19" i="134" s="1"/>
  <c r="T19" i="133"/>
  <c r="T19" i="134" s="1"/>
  <c r="U19" i="133"/>
  <c r="U19" i="134" s="1"/>
  <c r="V19" i="133"/>
  <c r="C20" i="133"/>
  <c r="D20" i="133"/>
  <c r="E20" i="133"/>
  <c r="F20" i="133"/>
  <c r="G20" i="133"/>
  <c r="G20" i="134" s="1"/>
  <c r="H20" i="133"/>
  <c r="H20" i="134" s="1"/>
  <c r="I20" i="133"/>
  <c r="I20" i="134" s="1"/>
  <c r="J20" i="133"/>
  <c r="J20" i="134" s="1"/>
  <c r="K20" i="133"/>
  <c r="L20" i="133"/>
  <c r="M20" i="133"/>
  <c r="N20" i="133"/>
  <c r="N20" i="134" s="1"/>
  <c r="O20" i="133"/>
  <c r="O20" i="134" s="1"/>
  <c r="P20" i="133"/>
  <c r="P20" i="134" s="1"/>
  <c r="Q20" i="133"/>
  <c r="Q20" i="134" s="1"/>
  <c r="R20" i="133"/>
  <c r="R20" i="134" s="1"/>
  <c r="S20" i="133"/>
  <c r="S20" i="134" s="1"/>
  <c r="T20" i="133"/>
  <c r="U20" i="133"/>
  <c r="V20" i="133"/>
  <c r="C23" i="133"/>
  <c r="D23" i="133"/>
  <c r="E23" i="133"/>
  <c r="F23" i="133"/>
  <c r="G23" i="133"/>
  <c r="H23" i="133"/>
  <c r="I23" i="133"/>
  <c r="J23" i="133"/>
  <c r="K23" i="133"/>
  <c r="L23" i="133"/>
  <c r="L23" i="134" s="1"/>
  <c r="M23" i="133"/>
  <c r="M23" i="134" s="1"/>
  <c r="N23" i="133"/>
  <c r="N23" i="134" s="1"/>
  <c r="O23" i="133"/>
  <c r="O23" i="134" s="1"/>
  <c r="P23" i="133"/>
  <c r="P23" i="134" s="1"/>
  <c r="Q23" i="133"/>
  <c r="R23" i="133"/>
  <c r="R23" i="134" s="1"/>
  <c r="S23" i="133"/>
  <c r="T23" i="133"/>
  <c r="T23" i="134" s="1"/>
  <c r="U23" i="133"/>
  <c r="V23" i="133"/>
  <c r="D24" i="133"/>
  <c r="E24" i="133"/>
  <c r="F24" i="133"/>
  <c r="G24" i="133"/>
  <c r="G24" i="134" s="1"/>
  <c r="H24" i="133"/>
  <c r="H24" i="134" s="1"/>
  <c r="I24" i="133"/>
  <c r="I24" i="134" s="1"/>
  <c r="J24" i="133"/>
  <c r="J24" i="134" s="1"/>
  <c r="K24" i="133"/>
  <c r="L24" i="133"/>
  <c r="M24" i="133"/>
  <c r="N24" i="133"/>
  <c r="N24" i="134" s="1"/>
  <c r="O24" i="133"/>
  <c r="P24" i="133"/>
  <c r="P24" i="134" s="1"/>
  <c r="Q24" i="133"/>
  <c r="R24" i="133"/>
  <c r="R24" i="134" s="1"/>
  <c r="S24" i="133"/>
  <c r="S24" i="134" s="1"/>
  <c r="T24" i="133"/>
  <c r="U24" i="133"/>
  <c r="V24" i="133"/>
  <c r="C31" i="133"/>
  <c r="D31" i="133"/>
  <c r="E31" i="133"/>
  <c r="F31" i="133"/>
  <c r="G31" i="133"/>
  <c r="H31" i="133"/>
  <c r="I31" i="133"/>
  <c r="J31" i="133"/>
  <c r="K31" i="133"/>
  <c r="L31" i="133"/>
  <c r="M31" i="133"/>
  <c r="M31" i="134" s="1"/>
  <c r="N31" i="133"/>
  <c r="N31" i="134" s="1"/>
  <c r="O31" i="133"/>
  <c r="O31" i="134" s="1"/>
  <c r="P31" i="133"/>
  <c r="Q31" i="133"/>
  <c r="R31" i="133"/>
  <c r="S31" i="133"/>
  <c r="S31" i="134" s="1"/>
  <c r="T31" i="133"/>
  <c r="T31" i="134" s="1"/>
  <c r="U31" i="133"/>
  <c r="U31" i="134" s="1"/>
  <c r="V31" i="133"/>
  <c r="C32" i="133"/>
  <c r="D32" i="133"/>
  <c r="E32" i="133"/>
  <c r="F32" i="133"/>
  <c r="G32" i="133"/>
  <c r="G32" i="134" s="1"/>
  <c r="H32" i="133"/>
  <c r="H32" i="134" s="1"/>
  <c r="I32" i="133"/>
  <c r="I32" i="134" s="1"/>
  <c r="J32" i="133"/>
  <c r="K32" i="133"/>
  <c r="L32" i="133"/>
  <c r="M32" i="133"/>
  <c r="N32" i="133"/>
  <c r="O32" i="133"/>
  <c r="P32" i="133"/>
  <c r="P32" i="134" s="1"/>
  <c r="Q32" i="133"/>
  <c r="R32" i="133"/>
  <c r="S32" i="133"/>
  <c r="S32" i="134" s="1"/>
  <c r="T32" i="133"/>
  <c r="T32" i="134" s="1"/>
  <c r="U32" i="133"/>
  <c r="U32" i="134" s="1"/>
  <c r="V32" i="133"/>
  <c r="C33" i="133"/>
  <c r="D33" i="133"/>
  <c r="E33" i="133"/>
  <c r="F33" i="133"/>
  <c r="G33" i="133"/>
  <c r="H33" i="133"/>
  <c r="I33" i="133"/>
  <c r="J33" i="133"/>
  <c r="K33" i="133"/>
  <c r="L33" i="133"/>
  <c r="M33" i="133"/>
  <c r="M33" i="134" s="1"/>
  <c r="N33" i="133"/>
  <c r="N33" i="134" s="1"/>
  <c r="O33" i="133"/>
  <c r="O33" i="134" s="1"/>
  <c r="P33" i="133"/>
  <c r="Q33" i="133"/>
  <c r="R33" i="133"/>
  <c r="S33" i="133"/>
  <c r="T33" i="133"/>
  <c r="U33" i="133"/>
  <c r="V33" i="133"/>
  <c r="C34" i="133"/>
  <c r="D34" i="133"/>
  <c r="E34" i="133"/>
  <c r="F34" i="133"/>
  <c r="G34" i="133"/>
  <c r="H34" i="133"/>
  <c r="I34" i="133"/>
  <c r="J34" i="133"/>
  <c r="K34" i="133"/>
  <c r="K34" i="134" s="1"/>
  <c r="L34" i="133"/>
  <c r="L34" i="134" s="1"/>
  <c r="M34" i="133"/>
  <c r="M34" i="134" s="1"/>
  <c r="N34" i="133"/>
  <c r="N34" i="134" s="1"/>
  <c r="O34" i="133"/>
  <c r="O34" i="134" s="1"/>
  <c r="P34" i="133"/>
  <c r="P34" i="134" s="1"/>
  <c r="Q34" i="133"/>
  <c r="Q34" i="134" s="1"/>
  <c r="R34" i="133"/>
  <c r="S34" i="133"/>
  <c r="S34" i="134" s="1"/>
  <c r="T34" i="133"/>
  <c r="U34" i="133"/>
  <c r="V34" i="133"/>
  <c r="C35" i="133"/>
  <c r="D35" i="133"/>
  <c r="E35" i="133"/>
  <c r="F35" i="133"/>
  <c r="G35" i="133"/>
  <c r="H35" i="133"/>
  <c r="I35" i="133"/>
  <c r="J35" i="133"/>
  <c r="K35" i="133"/>
  <c r="L35" i="133"/>
  <c r="L35" i="134" s="1"/>
  <c r="M35" i="133"/>
  <c r="N35" i="133"/>
  <c r="O35" i="133"/>
  <c r="O35" i="134" s="1"/>
  <c r="P35" i="133"/>
  <c r="P35" i="134" s="1"/>
  <c r="Q35" i="133"/>
  <c r="Q35" i="134" s="1"/>
  <c r="R35" i="133"/>
  <c r="R35" i="134" s="1"/>
  <c r="S35" i="133"/>
  <c r="T35" i="133"/>
  <c r="T35" i="134" s="1"/>
  <c r="U35" i="133"/>
  <c r="U35" i="134" s="1"/>
  <c r="V35" i="133"/>
  <c r="C38" i="133"/>
  <c r="D38" i="133"/>
  <c r="E38" i="133"/>
  <c r="F38" i="133"/>
  <c r="G38" i="133"/>
  <c r="H38" i="133"/>
  <c r="I38" i="133"/>
  <c r="J38" i="133"/>
  <c r="K38" i="133"/>
  <c r="K38" i="134" s="1"/>
  <c r="L38" i="133"/>
  <c r="L38" i="134" s="1"/>
  <c r="M38" i="133"/>
  <c r="M38" i="134" s="1"/>
  <c r="N38" i="133"/>
  <c r="N38" i="134" s="1"/>
  <c r="O38" i="133"/>
  <c r="O38" i="134" s="1"/>
  <c r="P38" i="133"/>
  <c r="P38" i="134" s="1"/>
  <c r="Q38" i="133"/>
  <c r="R38" i="133"/>
  <c r="R38" i="134" s="1"/>
  <c r="S38" i="133"/>
  <c r="T38" i="133"/>
  <c r="T38" i="134" s="1"/>
  <c r="U38" i="133"/>
  <c r="V38" i="133"/>
  <c r="C39" i="133"/>
  <c r="D39" i="133"/>
  <c r="E39" i="133"/>
  <c r="F39" i="133"/>
  <c r="G39" i="133"/>
  <c r="H39" i="133"/>
  <c r="I39" i="133"/>
  <c r="J39" i="133"/>
  <c r="K39" i="133"/>
  <c r="L39" i="133"/>
  <c r="L39" i="134" s="1"/>
  <c r="M39" i="133"/>
  <c r="N39" i="133"/>
  <c r="N39" i="134" s="1"/>
  <c r="O39" i="133"/>
  <c r="O39" i="134" s="1"/>
  <c r="P39" i="133"/>
  <c r="P39" i="134" s="1"/>
  <c r="Q39" i="133"/>
  <c r="Q39" i="134" s="1"/>
  <c r="R39" i="133"/>
  <c r="S39" i="133"/>
  <c r="T39" i="133"/>
  <c r="U39" i="133"/>
  <c r="V39" i="133"/>
  <c r="C40" i="133"/>
  <c r="D40" i="133"/>
  <c r="E40" i="133"/>
  <c r="F40" i="133"/>
  <c r="G40" i="133"/>
  <c r="G40" i="134" s="1"/>
  <c r="H40" i="133"/>
  <c r="H40" i="134" s="1"/>
  <c r="I40" i="133"/>
  <c r="I40" i="134" s="1"/>
  <c r="J40" i="133"/>
  <c r="J40" i="134" s="1"/>
  <c r="K40" i="133"/>
  <c r="L40" i="133"/>
  <c r="M40" i="133"/>
  <c r="N40" i="133"/>
  <c r="N40" i="134" s="1"/>
  <c r="O40" i="133"/>
  <c r="O40" i="134" s="1"/>
  <c r="P40" i="133"/>
  <c r="Q40" i="133"/>
  <c r="R40" i="133"/>
  <c r="S40" i="133"/>
  <c r="S40" i="134" s="1"/>
  <c r="T40" i="133"/>
  <c r="U40" i="133"/>
  <c r="V40" i="133"/>
  <c r="C41" i="133"/>
  <c r="D41" i="133"/>
  <c r="E41" i="133"/>
  <c r="F41" i="133"/>
  <c r="G41" i="133"/>
  <c r="G41" i="134" s="1"/>
  <c r="H41" i="133"/>
  <c r="H41" i="134" s="1"/>
  <c r="I41" i="133"/>
  <c r="I41" i="134" s="1"/>
  <c r="J41" i="133"/>
  <c r="J41" i="134" s="1"/>
  <c r="K41" i="133"/>
  <c r="K41" i="134" s="1"/>
  <c r="L41" i="133"/>
  <c r="L41" i="134" s="1"/>
  <c r="M41" i="133"/>
  <c r="M41" i="134" s="1"/>
  <c r="N41" i="133"/>
  <c r="N41" i="134" s="1"/>
  <c r="O41" i="133"/>
  <c r="O41" i="134" s="1"/>
  <c r="P41" i="133"/>
  <c r="Q41" i="133"/>
  <c r="R41" i="133"/>
  <c r="S41" i="133"/>
  <c r="T41" i="133"/>
  <c r="U41" i="133"/>
  <c r="V41" i="133"/>
  <c r="C43" i="133"/>
  <c r="D43" i="133"/>
  <c r="E43" i="133"/>
  <c r="F43" i="133"/>
  <c r="G43" i="133"/>
  <c r="H43" i="133"/>
  <c r="I43" i="133"/>
  <c r="J43" i="133"/>
  <c r="K43" i="133"/>
  <c r="L43" i="133"/>
  <c r="M43" i="133"/>
  <c r="M43" i="134" s="1"/>
  <c r="N43" i="133"/>
  <c r="N43" i="134" s="1"/>
  <c r="O43" i="133"/>
  <c r="O43" i="134" s="1"/>
  <c r="P43" i="133"/>
  <c r="P43" i="134" s="1"/>
  <c r="Q43" i="133"/>
  <c r="R43" i="133"/>
  <c r="S43" i="133"/>
  <c r="T43" i="133"/>
  <c r="T43" i="134" s="1"/>
  <c r="U43" i="133"/>
  <c r="U43" i="134" s="1"/>
  <c r="V43" i="133"/>
  <c r="C44" i="133"/>
  <c r="D44" i="133"/>
  <c r="E44" i="133"/>
  <c r="F44" i="133"/>
  <c r="G44" i="133"/>
  <c r="G44" i="134" s="1"/>
  <c r="H44" i="133"/>
  <c r="H44" i="134" s="1"/>
  <c r="I44" i="133"/>
  <c r="I44" i="134" s="1"/>
  <c r="J44" i="133"/>
  <c r="J44" i="134" s="1"/>
  <c r="K44" i="133"/>
  <c r="L44" i="133"/>
  <c r="M44" i="133"/>
  <c r="N44" i="133"/>
  <c r="N44" i="134" s="1"/>
  <c r="O44" i="133"/>
  <c r="P44" i="133"/>
  <c r="Q44" i="133"/>
  <c r="Q44" i="134" s="1"/>
  <c r="R44" i="133"/>
  <c r="R44" i="134" s="1"/>
  <c r="S44" i="133"/>
  <c r="T44" i="133"/>
  <c r="U44" i="133"/>
  <c r="U44" i="134" s="1"/>
  <c r="V44" i="133"/>
  <c r="L44" i="134" l="1"/>
  <c r="L202" i="134"/>
  <c r="L123" i="134"/>
  <c r="L40" i="134"/>
  <c r="L198" i="134"/>
  <c r="L119" i="134"/>
  <c r="L113" i="134"/>
  <c r="L192" i="134"/>
  <c r="L112" i="134"/>
  <c r="L191" i="134"/>
  <c r="L32" i="134"/>
  <c r="L111" i="134"/>
  <c r="L190" i="134"/>
  <c r="L189" i="134"/>
  <c r="L110" i="134"/>
  <c r="L24" i="134"/>
  <c r="L103" i="134"/>
  <c r="L182" i="134"/>
  <c r="L20" i="134"/>
  <c r="L99" i="134"/>
  <c r="L178" i="134"/>
  <c r="L177" i="134"/>
  <c r="L98" i="134"/>
  <c r="L8" i="134"/>
  <c r="L87" i="134"/>
  <c r="L166" i="134"/>
  <c r="L165" i="134"/>
  <c r="L86" i="134"/>
  <c r="L85" i="134"/>
  <c r="L164" i="134"/>
  <c r="L4" i="134"/>
  <c r="L162" i="134"/>
  <c r="L83" i="134"/>
  <c r="L161" i="134"/>
  <c r="L82" i="134"/>
  <c r="L33" i="134"/>
  <c r="K44" i="134"/>
  <c r="K123" i="134"/>
  <c r="K202" i="134"/>
  <c r="K43" i="134"/>
  <c r="K122" i="134"/>
  <c r="K201" i="134"/>
  <c r="K120" i="134"/>
  <c r="K199" i="134"/>
  <c r="K40" i="134"/>
  <c r="K198" i="134"/>
  <c r="K119" i="134"/>
  <c r="K39" i="134"/>
  <c r="K197" i="134"/>
  <c r="K118" i="134"/>
  <c r="K196" i="134"/>
  <c r="K117" i="134"/>
  <c r="K35" i="134"/>
  <c r="K193" i="134"/>
  <c r="K114" i="134"/>
  <c r="K192" i="134"/>
  <c r="K113" i="134"/>
  <c r="K33" i="134"/>
  <c r="K191" i="134"/>
  <c r="K112" i="134"/>
  <c r="K32" i="134"/>
  <c r="K190" i="134"/>
  <c r="K111" i="134"/>
  <c r="K31" i="134"/>
  <c r="K189" i="134"/>
  <c r="K110" i="134"/>
  <c r="K24" i="134"/>
  <c r="K182" i="134"/>
  <c r="K103" i="134"/>
  <c r="K23" i="134"/>
  <c r="K181" i="134"/>
  <c r="K102" i="134"/>
  <c r="K20" i="134"/>
  <c r="K178" i="134"/>
  <c r="K99" i="134"/>
  <c r="K19" i="134"/>
  <c r="K177" i="134"/>
  <c r="K98" i="134"/>
  <c r="K14" i="134"/>
  <c r="K172" i="134"/>
  <c r="K93" i="134"/>
  <c r="K13" i="134"/>
  <c r="K92" i="134"/>
  <c r="K171" i="134"/>
  <c r="K10" i="134"/>
  <c r="K168" i="134"/>
  <c r="K89" i="134"/>
  <c r="K8" i="134"/>
  <c r="K87" i="134"/>
  <c r="K166" i="134"/>
  <c r="K7" i="134"/>
  <c r="K86" i="134"/>
  <c r="K165" i="134"/>
  <c r="K6" i="134"/>
  <c r="K164" i="134"/>
  <c r="K85" i="134"/>
  <c r="K4" i="134"/>
  <c r="K162" i="134"/>
  <c r="K83" i="134"/>
  <c r="K3" i="134"/>
  <c r="K161" i="134"/>
  <c r="K82" i="134"/>
  <c r="J202" i="134"/>
  <c r="J123" i="134"/>
  <c r="J43" i="134"/>
  <c r="J201" i="134"/>
  <c r="J122" i="134"/>
  <c r="J120" i="134"/>
  <c r="J199" i="134"/>
  <c r="J198" i="134"/>
  <c r="J119" i="134"/>
  <c r="J39" i="134"/>
  <c r="J118" i="134"/>
  <c r="J197" i="134"/>
  <c r="J38" i="134"/>
  <c r="J196" i="134"/>
  <c r="J117" i="134"/>
  <c r="J35" i="134"/>
  <c r="J114" i="134"/>
  <c r="J193" i="134"/>
  <c r="J34" i="134"/>
  <c r="J113" i="134"/>
  <c r="J192" i="134"/>
  <c r="J33" i="134"/>
  <c r="J112" i="134"/>
  <c r="J191" i="134"/>
  <c r="J111" i="134"/>
  <c r="J190" i="134"/>
  <c r="J31" i="134"/>
  <c r="J110" i="134"/>
  <c r="J189" i="134"/>
  <c r="J182" i="134"/>
  <c r="J103" i="134"/>
  <c r="J23" i="134"/>
  <c r="J181" i="134"/>
  <c r="J102" i="134"/>
  <c r="J178" i="134"/>
  <c r="J99" i="134"/>
  <c r="J19" i="134"/>
  <c r="J177" i="134"/>
  <c r="J98" i="134"/>
  <c r="J14" i="134"/>
  <c r="J93" i="134"/>
  <c r="J172" i="134"/>
  <c r="J13" i="134"/>
  <c r="J92" i="134"/>
  <c r="J171" i="134"/>
  <c r="J10" i="134"/>
  <c r="J89" i="134"/>
  <c r="J168" i="134"/>
  <c r="J87" i="134"/>
  <c r="J166" i="134"/>
  <c r="J7" i="134"/>
  <c r="J86" i="134"/>
  <c r="J165" i="134"/>
  <c r="J6" i="134"/>
  <c r="J164" i="134"/>
  <c r="J85" i="134"/>
  <c r="J162" i="134"/>
  <c r="J83" i="134"/>
  <c r="J3" i="134"/>
  <c r="J161" i="134"/>
  <c r="J82" i="134"/>
  <c r="L31" i="134"/>
  <c r="I123" i="134"/>
  <c r="I202" i="134"/>
  <c r="I43" i="134"/>
  <c r="I122" i="134"/>
  <c r="I201" i="134"/>
  <c r="I199" i="134"/>
  <c r="I120" i="134"/>
  <c r="I198" i="134"/>
  <c r="I119" i="134"/>
  <c r="I39" i="134"/>
  <c r="I197" i="134"/>
  <c r="I118" i="134"/>
  <c r="I38" i="134"/>
  <c r="I196" i="134"/>
  <c r="I117" i="134"/>
  <c r="I35" i="134"/>
  <c r="I114" i="134"/>
  <c r="I193" i="134"/>
  <c r="I34" i="134"/>
  <c r="I192" i="134"/>
  <c r="I113" i="134"/>
  <c r="I33" i="134"/>
  <c r="I191" i="134"/>
  <c r="I112" i="134"/>
  <c r="I190" i="134"/>
  <c r="I111" i="134"/>
  <c r="I31" i="134"/>
  <c r="I189" i="134"/>
  <c r="I110" i="134"/>
  <c r="I103" i="134"/>
  <c r="I182" i="134"/>
  <c r="I23" i="134"/>
  <c r="I181" i="134"/>
  <c r="I102" i="134"/>
  <c r="I99" i="134"/>
  <c r="I178" i="134"/>
  <c r="I19" i="134"/>
  <c r="I98" i="134"/>
  <c r="I177" i="134"/>
  <c r="I14" i="134"/>
  <c r="I172" i="134"/>
  <c r="I93" i="134"/>
  <c r="I13" i="134"/>
  <c r="I171" i="134"/>
  <c r="I92" i="134"/>
  <c r="I10" i="134"/>
  <c r="I89" i="134"/>
  <c r="I168" i="134"/>
  <c r="I166" i="134"/>
  <c r="I87" i="134"/>
  <c r="I7" i="134"/>
  <c r="I165" i="134"/>
  <c r="I86" i="134"/>
  <c r="I6" i="134"/>
  <c r="I164" i="134"/>
  <c r="I85" i="134"/>
  <c r="I83" i="134"/>
  <c r="I162" i="134"/>
  <c r="I3" i="134"/>
  <c r="I82" i="134"/>
  <c r="I161" i="134"/>
  <c r="L6" i="134"/>
  <c r="V38" i="134"/>
  <c r="V196" i="134"/>
  <c r="V117" i="134"/>
  <c r="V35" i="134"/>
  <c r="V114" i="134"/>
  <c r="V193" i="134"/>
  <c r="V31" i="134"/>
  <c r="V110" i="134"/>
  <c r="V189" i="134"/>
  <c r="V19" i="134"/>
  <c r="V98" i="134"/>
  <c r="V177" i="134"/>
  <c r="V7" i="134"/>
  <c r="V165" i="134"/>
  <c r="V86" i="134"/>
  <c r="V4" i="134"/>
  <c r="V162" i="134"/>
  <c r="V83" i="134"/>
  <c r="U197" i="134"/>
  <c r="U118" i="134"/>
  <c r="U34" i="134"/>
  <c r="U192" i="134"/>
  <c r="U113" i="134"/>
  <c r="U190" i="134"/>
  <c r="U111" i="134"/>
  <c r="U10" i="134"/>
  <c r="U168" i="134"/>
  <c r="U89" i="134"/>
  <c r="U86" i="134"/>
  <c r="U165" i="134"/>
  <c r="U162" i="134"/>
  <c r="U83" i="134"/>
  <c r="T202" i="134"/>
  <c r="T123" i="134"/>
  <c r="T198" i="134"/>
  <c r="T119" i="134"/>
  <c r="T103" i="134"/>
  <c r="T182" i="134"/>
  <c r="T178" i="134"/>
  <c r="T99" i="134"/>
  <c r="T164" i="134"/>
  <c r="T85" i="134"/>
  <c r="S117" i="134"/>
  <c r="S196" i="134"/>
  <c r="S114" i="134"/>
  <c r="S193" i="134"/>
  <c r="S111" i="134"/>
  <c r="S190" i="134"/>
  <c r="S98" i="134"/>
  <c r="S177" i="134"/>
  <c r="S87" i="134"/>
  <c r="S166" i="134"/>
  <c r="S165" i="134"/>
  <c r="S86" i="134"/>
  <c r="S161" i="134"/>
  <c r="S82" i="134"/>
  <c r="R197" i="134"/>
  <c r="R118" i="134"/>
  <c r="R192" i="134"/>
  <c r="R113" i="134"/>
  <c r="R33" i="134"/>
  <c r="R112" i="134"/>
  <c r="R191" i="134"/>
  <c r="R110" i="134"/>
  <c r="R189" i="134"/>
  <c r="R89" i="134"/>
  <c r="R168" i="134"/>
  <c r="R87" i="134"/>
  <c r="R166" i="134"/>
  <c r="R85" i="134"/>
  <c r="R164" i="134"/>
  <c r="R82" i="134"/>
  <c r="R161" i="134"/>
  <c r="Q122" i="134"/>
  <c r="Q201" i="134"/>
  <c r="Q41" i="134"/>
  <c r="Q120" i="134"/>
  <c r="Q199" i="134"/>
  <c r="Q33" i="134"/>
  <c r="Q112" i="134"/>
  <c r="Q191" i="134"/>
  <c r="Q110" i="134"/>
  <c r="Q189" i="134"/>
  <c r="Q178" i="134"/>
  <c r="Q99" i="134"/>
  <c r="Q89" i="134"/>
  <c r="Q168" i="134"/>
  <c r="Q83" i="134"/>
  <c r="Q162" i="134"/>
  <c r="S8" i="134"/>
  <c r="P123" i="134"/>
  <c r="P202" i="134"/>
  <c r="P41" i="134"/>
  <c r="P199" i="134"/>
  <c r="P120" i="134"/>
  <c r="P181" i="134"/>
  <c r="P102" i="134"/>
  <c r="P177" i="134"/>
  <c r="P98" i="134"/>
  <c r="P161" i="134"/>
  <c r="P82" i="134"/>
  <c r="O197" i="134"/>
  <c r="O118" i="134"/>
  <c r="O113" i="134"/>
  <c r="O192" i="134"/>
  <c r="O190" i="134"/>
  <c r="O111" i="134"/>
  <c r="O102" i="134"/>
  <c r="O181" i="134"/>
  <c r="O93" i="134"/>
  <c r="O172" i="134"/>
  <c r="O85" i="134"/>
  <c r="O164" i="134"/>
  <c r="N123" i="134"/>
  <c r="N202" i="134"/>
  <c r="N120" i="134"/>
  <c r="N199" i="134"/>
  <c r="N93" i="134"/>
  <c r="N172" i="134"/>
  <c r="N85" i="134"/>
  <c r="N164" i="134"/>
  <c r="M118" i="134"/>
  <c r="M197" i="134"/>
  <c r="M192" i="134"/>
  <c r="M113" i="134"/>
  <c r="M32" i="134"/>
  <c r="M190" i="134"/>
  <c r="M111" i="134"/>
  <c r="L196" i="134"/>
  <c r="L117" i="134"/>
  <c r="L92" i="134"/>
  <c r="L171" i="134"/>
  <c r="O6" i="134"/>
  <c r="H123" i="134"/>
  <c r="H202" i="134"/>
  <c r="H38" i="134"/>
  <c r="H196" i="134"/>
  <c r="H117" i="134"/>
  <c r="H35" i="134"/>
  <c r="H114" i="134"/>
  <c r="H193" i="134"/>
  <c r="H111" i="134"/>
  <c r="H190" i="134"/>
  <c r="H14" i="134"/>
  <c r="H172" i="134"/>
  <c r="H93" i="134"/>
  <c r="H162" i="134"/>
  <c r="H83" i="134"/>
  <c r="T44" i="134"/>
  <c r="G39" i="134"/>
  <c r="G197" i="134"/>
  <c r="G118" i="134"/>
  <c r="G34" i="134"/>
  <c r="G113" i="134"/>
  <c r="G192" i="134"/>
  <c r="G111" i="134"/>
  <c r="G190" i="134"/>
  <c r="G103" i="134"/>
  <c r="G182" i="134"/>
  <c r="G13" i="134"/>
  <c r="G92" i="134"/>
  <c r="G171" i="134"/>
  <c r="G10" i="134"/>
  <c r="G89" i="134"/>
  <c r="G168" i="134"/>
  <c r="G6" i="134"/>
  <c r="G164" i="134"/>
  <c r="G85" i="134"/>
  <c r="F44" i="134"/>
  <c r="F123" i="134"/>
  <c r="F202" i="134"/>
  <c r="F43" i="134"/>
  <c r="F122" i="134"/>
  <c r="F201" i="134"/>
  <c r="F41" i="134"/>
  <c r="F120" i="134"/>
  <c r="F199" i="134"/>
  <c r="F40" i="134"/>
  <c r="F119" i="134"/>
  <c r="F198" i="134"/>
  <c r="F39" i="134"/>
  <c r="F118" i="134"/>
  <c r="F197" i="134"/>
  <c r="F38" i="134"/>
  <c r="F196" i="134"/>
  <c r="F117" i="134"/>
  <c r="F35" i="134"/>
  <c r="F193" i="134"/>
  <c r="F114" i="134"/>
  <c r="F34" i="134"/>
  <c r="F192" i="134"/>
  <c r="F113" i="134"/>
  <c r="F33" i="134"/>
  <c r="F191" i="134"/>
  <c r="F112" i="134"/>
  <c r="F32" i="134"/>
  <c r="F190" i="134"/>
  <c r="F111" i="134"/>
  <c r="F31" i="134"/>
  <c r="F110" i="134"/>
  <c r="F189" i="134"/>
  <c r="F24" i="134"/>
  <c r="F103" i="134"/>
  <c r="F182" i="134"/>
  <c r="F23" i="134"/>
  <c r="F102" i="134"/>
  <c r="F181" i="134"/>
  <c r="F20" i="134"/>
  <c r="F99" i="134"/>
  <c r="F178" i="134"/>
  <c r="F19" i="134"/>
  <c r="F98" i="134"/>
  <c r="F177" i="134"/>
  <c r="F14" i="134"/>
  <c r="F172" i="134"/>
  <c r="F93" i="134"/>
  <c r="F13" i="134"/>
  <c r="F171" i="134"/>
  <c r="F92" i="134"/>
  <c r="F10" i="134"/>
  <c r="F89" i="134"/>
  <c r="F168" i="134"/>
  <c r="F8" i="134"/>
  <c r="F87" i="134"/>
  <c r="F166" i="134"/>
  <c r="F7" i="134"/>
  <c r="F165" i="134"/>
  <c r="F86" i="134"/>
  <c r="F6" i="134"/>
  <c r="F164" i="134"/>
  <c r="F85" i="134"/>
  <c r="F4" i="134"/>
  <c r="F83" i="134"/>
  <c r="F162" i="134"/>
  <c r="F3" i="134"/>
  <c r="F82" i="134"/>
  <c r="F161" i="134"/>
  <c r="V39" i="134"/>
  <c r="V118" i="134"/>
  <c r="V197" i="134"/>
  <c r="V34" i="134"/>
  <c r="V192" i="134"/>
  <c r="V113" i="134"/>
  <c r="V32" i="134"/>
  <c r="V190" i="134"/>
  <c r="V111" i="134"/>
  <c r="V8" i="134"/>
  <c r="V166" i="134"/>
  <c r="V87" i="134"/>
  <c r="V3" i="134"/>
  <c r="V161" i="134"/>
  <c r="V82" i="134"/>
  <c r="U198" i="134"/>
  <c r="U119" i="134"/>
  <c r="U33" i="134"/>
  <c r="U191" i="134"/>
  <c r="U112" i="134"/>
  <c r="U189" i="134"/>
  <c r="U110" i="134"/>
  <c r="U103" i="134"/>
  <c r="U182" i="134"/>
  <c r="U13" i="134"/>
  <c r="U92" i="134"/>
  <c r="U171" i="134"/>
  <c r="T197" i="134"/>
  <c r="T118" i="134"/>
  <c r="T113" i="134"/>
  <c r="T192" i="134"/>
  <c r="T181" i="134"/>
  <c r="T102" i="134"/>
  <c r="T13" i="134"/>
  <c r="T92" i="134"/>
  <c r="T171" i="134"/>
  <c r="T89" i="134"/>
  <c r="T168" i="134"/>
  <c r="T87" i="134"/>
  <c r="T166" i="134"/>
  <c r="T86" i="134"/>
  <c r="T165" i="134"/>
  <c r="T82" i="134"/>
  <c r="T161" i="134"/>
  <c r="S201" i="134"/>
  <c r="S122" i="134"/>
  <c r="S41" i="134"/>
  <c r="S199" i="134"/>
  <c r="S120" i="134"/>
  <c r="S33" i="134"/>
  <c r="S191" i="134"/>
  <c r="S112" i="134"/>
  <c r="S181" i="134"/>
  <c r="S102" i="134"/>
  <c r="S99" i="134"/>
  <c r="S178" i="134"/>
  <c r="S172" i="134"/>
  <c r="S93" i="134"/>
  <c r="R198" i="134"/>
  <c r="R119" i="134"/>
  <c r="R111" i="134"/>
  <c r="R190" i="134"/>
  <c r="R103" i="134"/>
  <c r="R182" i="134"/>
  <c r="R13" i="134"/>
  <c r="R171" i="134"/>
  <c r="R92" i="134"/>
  <c r="Q198" i="134"/>
  <c r="Q119" i="134"/>
  <c r="Q181" i="134"/>
  <c r="Q102" i="134"/>
  <c r="Q165" i="134"/>
  <c r="Q86" i="134"/>
  <c r="P197" i="134"/>
  <c r="P118" i="134"/>
  <c r="P113" i="134"/>
  <c r="P192" i="134"/>
  <c r="P103" i="134"/>
  <c r="P182" i="134"/>
  <c r="P99" i="134"/>
  <c r="P178" i="134"/>
  <c r="P13" i="134"/>
  <c r="P92" i="134"/>
  <c r="P171" i="134"/>
  <c r="P168" i="134"/>
  <c r="P89" i="134"/>
  <c r="U39" i="134"/>
  <c r="O122" i="134"/>
  <c r="O201" i="134"/>
  <c r="O119" i="134"/>
  <c r="O198" i="134"/>
  <c r="O99" i="134"/>
  <c r="O178" i="134"/>
  <c r="O168" i="134"/>
  <c r="O89" i="134"/>
  <c r="O165" i="134"/>
  <c r="O86" i="134"/>
  <c r="O82" i="134"/>
  <c r="O161" i="134"/>
  <c r="T39" i="134"/>
  <c r="N118" i="134"/>
  <c r="N197" i="134"/>
  <c r="N192" i="134"/>
  <c r="N113" i="134"/>
  <c r="N189" i="134"/>
  <c r="N110" i="134"/>
  <c r="N98" i="134"/>
  <c r="N177" i="134"/>
  <c r="M44" i="134"/>
  <c r="M123" i="134"/>
  <c r="M202" i="134"/>
  <c r="M117" i="134"/>
  <c r="M196" i="134"/>
  <c r="M193" i="134"/>
  <c r="M114" i="134"/>
  <c r="M98" i="134"/>
  <c r="M177" i="134"/>
  <c r="M8" i="134"/>
  <c r="M166" i="134"/>
  <c r="M87" i="134"/>
  <c r="M4" i="134"/>
  <c r="M83" i="134"/>
  <c r="M162" i="134"/>
  <c r="R39" i="134"/>
  <c r="L199" i="134"/>
  <c r="L120" i="134"/>
  <c r="L114" i="134"/>
  <c r="L193" i="134"/>
  <c r="L168" i="134"/>
  <c r="L89" i="134"/>
  <c r="T10" i="134"/>
  <c r="H39" i="134"/>
  <c r="H197" i="134"/>
  <c r="H118" i="134"/>
  <c r="H34" i="134"/>
  <c r="H113" i="134"/>
  <c r="H192" i="134"/>
  <c r="H31" i="134"/>
  <c r="H110" i="134"/>
  <c r="H189" i="134"/>
  <c r="H103" i="134"/>
  <c r="H182" i="134"/>
  <c r="H178" i="134"/>
  <c r="H99" i="134"/>
  <c r="U40" i="134"/>
  <c r="R32" i="134"/>
  <c r="G202" i="134"/>
  <c r="G123" i="134"/>
  <c r="G38" i="134"/>
  <c r="G117" i="134"/>
  <c r="G196" i="134"/>
  <c r="G35" i="134"/>
  <c r="G114" i="134"/>
  <c r="G193" i="134"/>
  <c r="G23" i="134"/>
  <c r="G102" i="134"/>
  <c r="G181" i="134"/>
  <c r="G178" i="134"/>
  <c r="G99" i="134"/>
  <c r="P19" i="134"/>
  <c r="O10" i="134"/>
  <c r="E44" i="134"/>
  <c r="E202" i="134"/>
  <c r="E123" i="134"/>
  <c r="E43" i="134"/>
  <c r="E201" i="134"/>
  <c r="E122" i="134"/>
  <c r="E41" i="134"/>
  <c r="E120" i="134"/>
  <c r="E199" i="134"/>
  <c r="E40" i="134"/>
  <c r="E198" i="134"/>
  <c r="E119" i="134"/>
  <c r="E39" i="134"/>
  <c r="E197" i="134"/>
  <c r="E118" i="134"/>
  <c r="E38" i="134"/>
  <c r="E196" i="134"/>
  <c r="E117" i="134"/>
  <c r="E35" i="134"/>
  <c r="E193" i="134"/>
  <c r="E114" i="134"/>
  <c r="E34" i="134"/>
  <c r="E113" i="134"/>
  <c r="E192" i="134"/>
  <c r="E33" i="134"/>
  <c r="E112" i="134"/>
  <c r="E191" i="134"/>
  <c r="E32" i="134"/>
  <c r="E111" i="134"/>
  <c r="E190" i="134"/>
  <c r="E31" i="134"/>
  <c r="E110" i="134"/>
  <c r="E189" i="134"/>
  <c r="E24" i="134"/>
  <c r="E103" i="134"/>
  <c r="E182" i="134"/>
  <c r="E23" i="134"/>
  <c r="E102" i="134"/>
  <c r="E181" i="134"/>
  <c r="E20" i="134"/>
  <c r="E178" i="134"/>
  <c r="E99" i="134"/>
  <c r="E19" i="134"/>
  <c r="E177" i="134"/>
  <c r="E98" i="134"/>
  <c r="E14" i="134"/>
  <c r="E172" i="134"/>
  <c r="E93" i="134"/>
  <c r="E13" i="134"/>
  <c r="E92" i="134"/>
  <c r="E171" i="134"/>
  <c r="E10" i="134"/>
  <c r="E89" i="134"/>
  <c r="E168" i="134"/>
  <c r="E8" i="134"/>
  <c r="E166" i="134"/>
  <c r="E87" i="134"/>
  <c r="E7" i="134"/>
  <c r="E86" i="134"/>
  <c r="E165" i="134"/>
  <c r="E6" i="134"/>
  <c r="E164" i="134"/>
  <c r="E85" i="134"/>
  <c r="E4" i="134"/>
  <c r="E162" i="134"/>
  <c r="E83" i="134"/>
  <c r="E3" i="134"/>
  <c r="E82" i="134"/>
  <c r="E161" i="134"/>
  <c r="R40" i="134"/>
  <c r="S38" i="134"/>
  <c r="T34" i="134"/>
  <c r="O32" i="134"/>
  <c r="S23" i="134"/>
  <c r="N19" i="134"/>
  <c r="S7" i="134"/>
  <c r="V44" i="134"/>
  <c r="V123" i="134"/>
  <c r="V202" i="134"/>
  <c r="V41" i="134"/>
  <c r="V120" i="134"/>
  <c r="V199" i="134"/>
  <c r="V24" i="134"/>
  <c r="V103" i="134"/>
  <c r="V182" i="134"/>
  <c r="V13" i="134"/>
  <c r="V92" i="134"/>
  <c r="V171" i="134"/>
  <c r="V10" i="134"/>
  <c r="V89" i="134"/>
  <c r="V168" i="134"/>
  <c r="V6" i="134"/>
  <c r="V85" i="134"/>
  <c r="V164" i="134"/>
  <c r="U202" i="134"/>
  <c r="U123" i="134"/>
  <c r="U41" i="134"/>
  <c r="U199" i="134"/>
  <c r="U120" i="134"/>
  <c r="U102" i="134"/>
  <c r="U181" i="134"/>
  <c r="U99" i="134"/>
  <c r="U178" i="134"/>
  <c r="U161" i="134"/>
  <c r="U82" i="134"/>
  <c r="T41" i="134"/>
  <c r="T199" i="134"/>
  <c r="T120" i="134"/>
  <c r="T33" i="134"/>
  <c r="T112" i="134"/>
  <c r="T191" i="134"/>
  <c r="T189" i="134"/>
  <c r="T110" i="134"/>
  <c r="T162" i="134"/>
  <c r="T83" i="134"/>
  <c r="S123" i="134"/>
  <c r="S202" i="134"/>
  <c r="S198" i="134"/>
  <c r="S119" i="134"/>
  <c r="S182" i="134"/>
  <c r="S103" i="134"/>
  <c r="S13" i="134"/>
  <c r="S92" i="134"/>
  <c r="S171" i="134"/>
  <c r="S168" i="134"/>
  <c r="S89" i="134"/>
  <c r="S162" i="134"/>
  <c r="S83" i="134"/>
  <c r="U24" i="134"/>
  <c r="R201" i="134"/>
  <c r="R122" i="134"/>
  <c r="R41" i="134"/>
  <c r="R199" i="134"/>
  <c r="R120" i="134"/>
  <c r="R177" i="134"/>
  <c r="R98" i="134"/>
  <c r="R172" i="134"/>
  <c r="R93" i="134"/>
  <c r="R83" i="134"/>
  <c r="R162" i="134"/>
  <c r="Q118" i="134"/>
  <c r="Q197" i="134"/>
  <c r="Q113" i="134"/>
  <c r="Q192" i="134"/>
  <c r="Q111" i="134"/>
  <c r="Q190" i="134"/>
  <c r="Q177" i="134"/>
  <c r="Q98" i="134"/>
  <c r="Q93" i="134"/>
  <c r="Q172" i="134"/>
  <c r="Q87" i="134"/>
  <c r="Q166" i="134"/>
  <c r="T6" i="134"/>
  <c r="P201" i="134"/>
  <c r="P122" i="134"/>
  <c r="P198" i="134"/>
  <c r="P119" i="134"/>
  <c r="P33" i="134"/>
  <c r="P191" i="134"/>
  <c r="P112" i="134"/>
  <c r="P189" i="134"/>
  <c r="P110" i="134"/>
  <c r="P93" i="134"/>
  <c r="P172" i="134"/>
  <c r="P166" i="134"/>
  <c r="P87" i="134"/>
  <c r="P165" i="134"/>
  <c r="P86" i="134"/>
  <c r="P85" i="134"/>
  <c r="P164" i="134"/>
  <c r="R31" i="134"/>
  <c r="R8" i="134"/>
  <c r="O120" i="134"/>
  <c r="O199" i="134"/>
  <c r="O191" i="134"/>
  <c r="O112" i="134"/>
  <c r="O189" i="134"/>
  <c r="O110" i="134"/>
  <c r="O103" i="134"/>
  <c r="O182" i="134"/>
  <c r="O92" i="134"/>
  <c r="O171" i="134"/>
  <c r="O87" i="134"/>
  <c r="O166" i="134"/>
  <c r="O162" i="134"/>
  <c r="O83" i="134"/>
  <c r="R6" i="134"/>
  <c r="N198" i="134"/>
  <c r="N119" i="134"/>
  <c r="N191" i="134"/>
  <c r="N112" i="134"/>
  <c r="N190" i="134"/>
  <c r="N111" i="134"/>
  <c r="N182" i="134"/>
  <c r="N103" i="134"/>
  <c r="N92" i="134"/>
  <c r="N171" i="134"/>
  <c r="N168" i="134"/>
  <c r="N89" i="134"/>
  <c r="N86" i="134"/>
  <c r="N165" i="134"/>
  <c r="N82" i="134"/>
  <c r="N161" i="134"/>
  <c r="R43" i="134"/>
  <c r="P8" i="134"/>
  <c r="M122" i="134"/>
  <c r="M201" i="134"/>
  <c r="M120" i="134"/>
  <c r="M199" i="134"/>
  <c r="M102" i="134"/>
  <c r="M181" i="134"/>
  <c r="M20" i="134"/>
  <c r="M178" i="134"/>
  <c r="M99" i="134"/>
  <c r="M93" i="134"/>
  <c r="M172" i="134"/>
  <c r="M85" i="134"/>
  <c r="M164" i="134"/>
  <c r="O24" i="134"/>
  <c r="P6" i="134"/>
  <c r="L201" i="134"/>
  <c r="L122" i="134"/>
  <c r="L102" i="134"/>
  <c r="L181" i="134"/>
  <c r="L93" i="134"/>
  <c r="L172" i="134"/>
  <c r="H43" i="134"/>
  <c r="H122" i="134"/>
  <c r="H201" i="134"/>
  <c r="H199" i="134"/>
  <c r="H120" i="134"/>
  <c r="H19" i="134"/>
  <c r="H98" i="134"/>
  <c r="H177" i="134"/>
  <c r="H87" i="134"/>
  <c r="H166" i="134"/>
  <c r="H6" i="134"/>
  <c r="H164" i="134"/>
  <c r="H85" i="134"/>
  <c r="M39" i="134"/>
  <c r="Q19" i="134"/>
  <c r="G198" i="134"/>
  <c r="G119" i="134"/>
  <c r="G19" i="134"/>
  <c r="G177" i="134"/>
  <c r="G98" i="134"/>
  <c r="G14" i="134"/>
  <c r="G172" i="134"/>
  <c r="G93" i="134"/>
  <c r="G7" i="134"/>
  <c r="G86" i="134"/>
  <c r="G165" i="134"/>
  <c r="G3" i="134"/>
  <c r="G82" i="134"/>
  <c r="G161" i="134"/>
  <c r="S44" i="134"/>
  <c r="T40" i="134"/>
  <c r="M35" i="134"/>
  <c r="U23" i="134"/>
  <c r="U7" i="134"/>
  <c r="D44" i="134"/>
  <c r="D123" i="134"/>
  <c r="D202" i="134"/>
  <c r="D43" i="134"/>
  <c r="D122" i="134"/>
  <c r="D201" i="134"/>
  <c r="D41" i="134"/>
  <c r="D199" i="134"/>
  <c r="D120" i="134"/>
  <c r="D40" i="134"/>
  <c r="D198" i="134"/>
  <c r="D119" i="134"/>
  <c r="D39" i="134"/>
  <c r="D118" i="134"/>
  <c r="D197" i="134"/>
  <c r="D38" i="134"/>
  <c r="D117" i="134"/>
  <c r="D196" i="134"/>
  <c r="D35" i="134"/>
  <c r="D114" i="134"/>
  <c r="D193" i="134"/>
  <c r="D34" i="134"/>
  <c r="D113" i="134"/>
  <c r="D192" i="134"/>
  <c r="D33" i="134"/>
  <c r="D112" i="134"/>
  <c r="D191" i="134"/>
  <c r="D32" i="134"/>
  <c r="D111" i="134"/>
  <c r="D190" i="134"/>
  <c r="D31" i="134"/>
  <c r="D110" i="134"/>
  <c r="D189" i="134"/>
  <c r="D24" i="134"/>
  <c r="D182" i="134"/>
  <c r="D103" i="134"/>
  <c r="D23" i="134"/>
  <c r="D181" i="134"/>
  <c r="D102" i="134"/>
  <c r="D20" i="134"/>
  <c r="D99" i="134"/>
  <c r="D178" i="134"/>
  <c r="D19" i="134"/>
  <c r="D98" i="134"/>
  <c r="D177" i="134"/>
  <c r="D14" i="134"/>
  <c r="D172" i="134"/>
  <c r="D93" i="134"/>
  <c r="D13" i="134"/>
  <c r="D171" i="134"/>
  <c r="D92" i="134"/>
  <c r="D10" i="134"/>
  <c r="D168" i="134"/>
  <c r="D89" i="134"/>
  <c r="D8" i="134"/>
  <c r="D87" i="134"/>
  <c r="D166" i="134"/>
  <c r="D7" i="134"/>
  <c r="D165" i="134"/>
  <c r="D86" i="134"/>
  <c r="D6" i="134"/>
  <c r="D85" i="134"/>
  <c r="D164" i="134"/>
  <c r="D4" i="134"/>
  <c r="D162" i="134"/>
  <c r="D83" i="134"/>
  <c r="D3" i="134"/>
  <c r="D161" i="134"/>
  <c r="D82" i="134"/>
  <c r="P44" i="134"/>
  <c r="Q40" i="134"/>
  <c r="N32" i="134"/>
  <c r="U20" i="134"/>
  <c r="M19" i="134"/>
  <c r="Q14" i="134"/>
  <c r="L10" i="134"/>
  <c r="U4" i="134"/>
  <c r="V43" i="134"/>
  <c r="V122" i="134"/>
  <c r="V201" i="134"/>
  <c r="V40" i="134"/>
  <c r="V119" i="134"/>
  <c r="V198" i="134"/>
  <c r="V33" i="134"/>
  <c r="V191" i="134"/>
  <c r="V112" i="134"/>
  <c r="V23" i="134"/>
  <c r="V181" i="134"/>
  <c r="V102" i="134"/>
  <c r="V20" i="134"/>
  <c r="V178" i="134"/>
  <c r="V99" i="134"/>
  <c r="V14" i="134"/>
  <c r="V172" i="134"/>
  <c r="V93" i="134"/>
  <c r="U201" i="134"/>
  <c r="U122" i="134"/>
  <c r="U38" i="134"/>
  <c r="U196" i="134"/>
  <c r="U117" i="134"/>
  <c r="U193" i="134"/>
  <c r="U114" i="134"/>
  <c r="U177" i="134"/>
  <c r="U98" i="134"/>
  <c r="U14" i="134"/>
  <c r="U172" i="134"/>
  <c r="U93" i="134"/>
  <c r="U87" i="134"/>
  <c r="U166" i="134"/>
  <c r="U6" i="134"/>
  <c r="U164" i="134"/>
  <c r="U85" i="134"/>
  <c r="T201" i="134"/>
  <c r="T122" i="134"/>
  <c r="T196" i="134"/>
  <c r="T117" i="134"/>
  <c r="T114" i="134"/>
  <c r="T193" i="134"/>
  <c r="T190" i="134"/>
  <c r="T111" i="134"/>
  <c r="T98" i="134"/>
  <c r="T177" i="134"/>
  <c r="T172" i="134"/>
  <c r="T93" i="134"/>
  <c r="S197" i="134"/>
  <c r="S118" i="134"/>
  <c r="S113" i="134"/>
  <c r="S192" i="134"/>
  <c r="S110" i="134"/>
  <c r="S189" i="134"/>
  <c r="S164" i="134"/>
  <c r="S85" i="134"/>
  <c r="R202" i="134"/>
  <c r="R123" i="134"/>
  <c r="R117" i="134"/>
  <c r="R196" i="134"/>
  <c r="R193" i="134"/>
  <c r="R114" i="134"/>
  <c r="R102" i="134"/>
  <c r="R181" i="134"/>
  <c r="R178" i="134"/>
  <c r="R99" i="134"/>
  <c r="R86" i="134"/>
  <c r="R165" i="134"/>
  <c r="T24" i="134"/>
  <c r="Q123" i="134"/>
  <c r="Q202" i="134"/>
  <c r="Q196" i="134"/>
  <c r="Q117" i="134"/>
  <c r="Q114" i="134"/>
  <c r="Q193" i="134"/>
  <c r="Q103" i="134"/>
  <c r="Q182" i="134"/>
  <c r="Q13" i="134"/>
  <c r="Q92" i="134"/>
  <c r="Q171" i="134"/>
  <c r="Q164" i="134"/>
  <c r="Q85" i="134"/>
  <c r="Q161" i="134"/>
  <c r="Q82" i="134"/>
  <c r="P196" i="134"/>
  <c r="P117" i="134"/>
  <c r="P114" i="134"/>
  <c r="P193" i="134"/>
  <c r="P190" i="134"/>
  <c r="P111" i="134"/>
  <c r="P162" i="134"/>
  <c r="P83" i="134"/>
  <c r="O202" i="134"/>
  <c r="O123" i="134"/>
  <c r="O196" i="134"/>
  <c r="O117" i="134"/>
  <c r="O114" i="134"/>
  <c r="O193" i="134"/>
  <c r="O98" i="134"/>
  <c r="O177" i="134"/>
  <c r="S43" i="134"/>
  <c r="Q31" i="134"/>
  <c r="Q24" i="134"/>
  <c r="Q8" i="134"/>
  <c r="N122" i="134"/>
  <c r="N201" i="134"/>
  <c r="N196" i="134"/>
  <c r="N117" i="134"/>
  <c r="N193" i="134"/>
  <c r="N114" i="134"/>
  <c r="N181" i="134"/>
  <c r="N102" i="134"/>
  <c r="N99" i="134"/>
  <c r="N178" i="134"/>
  <c r="N87" i="134"/>
  <c r="N166" i="134"/>
  <c r="N83" i="134"/>
  <c r="N162" i="134"/>
  <c r="S39" i="134"/>
  <c r="P31" i="134"/>
  <c r="Q6" i="134"/>
  <c r="M40" i="134"/>
  <c r="M119" i="134"/>
  <c r="M198" i="134"/>
  <c r="M191" i="134"/>
  <c r="M112" i="134"/>
  <c r="M189" i="134"/>
  <c r="M110" i="134"/>
  <c r="M24" i="134"/>
  <c r="M103" i="134"/>
  <c r="M182" i="134"/>
  <c r="M92" i="134"/>
  <c r="M171" i="134"/>
  <c r="M89" i="134"/>
  <c r="M168" i="134"/>
  <c r="M165" i="134"/>
  <c r="M86" i="134"/>
  <c r="M82" i="134"/>
  <c r="M161" i="134"/>
  <c r="Q43" i="134"/>
  <c r="S35" i="134"/>
  <c r="O8" i="134"/>
  <c r="L197" i="134"/>
  <c r="L118" i="134"/>
  <c r="H119" i="134"/>
  <c r="H198" i="134"/>
  <c r="H33" i="134"/>
  <c r="H112" i="134"/>
  <c r="H191" i="134"/>
  <c r="H23" i="134"/>
  <c r="H102" i="134"/>
  <c r="H181" i="134"/>
  <c r="H13" i="134"/>
  <c r="H171" i="134"/>
  <c r="H92" i="134"/>
  <c r="H10" i="134"/>
  <c r="H168" i="134"/>
  <c r="H89" i="134"/>
  <c r="H7" i="134"/>
  <c r="H86" i="134"/>
  <c r="H165" i="134"/>
  <c r="H3" i="134"/>
  <c r="H161" i="134"/>
  <c r="H82" i="134"/>
  <c r="L43" i="134"/>
  <c r="N35" i="134"/>
  <c r="G43" i="134"/>
  <c r="G201" i="134"/>
  <c r="G122" i="134"/>
  <c r="G199" i="134"/>
  <c r="G120" i="134"/>
  <c r="G33" i="134"/>
  <c r="G191" i="134"/>
  <c r="G112" i="134"/>
  <c r="G31" i="134"/>
  <c r="G110" i="134"/>
  <c r="G189" i="134"/>
  <c r="G87" i="134"/>
  <c r="G166" i="134"/>
  <c r="G162" i="134"/>
  <c r="G83" i="134"/>
  <c r="Q32" i="134"/>
  <c r="P3" i="134"/>
  <c r="C44" i="134"/>
  <c r="C202" i="134"/>
  <c r="C123" i="134"/>
  <c r="C43" i="134"/>
  <c r="C201" i="134"/>
  <c r="C122" i="134"/>
  <c r="C41" i="134"/>
  <c r="C199" i="134"/>
  <c r="C120" i="134"/>
  <c r="C40" i="134"/>
  <c r="C198" i="134"/>
  <c r="C119" i="134"/>
  <c r="C39" i="134"/>
  <c r="C118" i="134"/>
  <c r="C197" i="134"/>
  <c r="C38" i="134"/>
  <c r="C117" i="134"/>
  <c r="C196" i="134"/>
  <c r="C35" i="134"/>
  <c r="C193" i="134"/>
  <c r="C114" i="134"/>
  <c r="C34" i="134"/>
  <c r="C192" i="134"/>
  <c r="C113" i="134"/>
  <c r="C33" i="134"/>
  <c r="C191" i="134"/>
  <c r="C112" i="134"/>
  <c r="C32" i="134"/>
  <c r="C111" i="134"/>
  <c r="C190" i="134"/>
  <c r="C31" i="134"/>
  <c r="C110" i="134"/>
  <c r="C189" i="134"/>
  <c r="C24" i="134"/>
  <c r="C103" i="134"/>
  <c r="C182" i="134"/>
  <c r="C23" i="134"/>
  <c r="C102" i="134"/>
  <c r="C181" i="134"/>
  <c r="C20" i="134"/>
  <c r="C178" i="134"/>
  <c r="C99" i="134"/>
  <c r="C19" i="134"/>
  <c r="C177" i="134"/>
  <c r="C98" i="134"/>
  <c r="C14" i="134"/>
  <c r="C172" i="134"/>
  <c r="C93" i="134"/>
  <c r="C13" i="134"/>
  <c r="C171" i="134"/>
  <c r="C92" i="134"/>
  <c r="C10" i="134"/>
  <c r="C89" i="134"/>
  <c r="C168" i="134"/>
  <c r="C8" i="134"/>
  <c r="C87" i="134"/>
  <c r="C166" i="134"/>
  <c r="C7" i="134"/>
  <c r="C86" i="134"/>
  <c r="C165" i="134"/>
  <c r="C6" i="134"/>
  <c r="C85" i="134"/>
  <c r="C164" i="134"/>
  <c r="C4" i="134"/>
  <c r="C83" i="134"/>
  <c r="C162" i="134"/>
  <c r="C3" i="134"/>
  <c r="C82" i="134"/>
  <c r="C161" i="134"/>
  <c r="O44" i="134"/>
  <c r="P40" i="134"/>
  <c r="Q38" i="134"/>
  <c r="R34" i="134"/>
  <c r="J32" i="134"/>
  <c r="Q23" i="134"/>
  <c r="T20" i="134"/>
  <c r="L19" i="134"/>
  <c r="P14" i="134"/>
  <c r="Q7" i="134"/>
  <c r="T4" i="134"/>
  <c r="L3" i="134"/>
  <c r="X4" i="140"/>
  <c r="X5" i="140"/>
  <c r="X6" i="140"/>
  <c r="X7" i="140"/>
  <c r="X8" i="140"/>
  <c r="X9" i="140"/>
  <c r="X10" i="140"/>
  <c r="X11" i="140"/>
  <c r="X12" i="140"/>
  <c r="X13" i="140"/>
  <c r="X14" i="140"/>
  <c r="X15" i="140"/>
  <c r="X16" i="140"/>
  <c r="X17" i="140"/>
  <c r="X18" i="140"/>
  <c r="X19" i="140"/>
  <c r="X20" i="140"/>
  <c r="X21" i="140"/>
  <c r="X22" i="140"/>
  <c r="X23" i="140"/>
  <c r="X24" i="140"/>
  <c r="X25" i="140"/>
  <c r="B6" i="141" s="1"/>
  <c r="X26" i="140"/>
  <c r="X27" i="140"/>
  <c r="X28" i="140"/>
  <c r="X29" i="140"/>
  <c r="X30" i="140"/>
  <c r="X31" i="140"/>
  <c r="X32" i="140"/>
  <c r="X33" i="140"/>
  <c r="X34" i="140"/>
  <c r="X35" i="140"/>
  <c r="X36" i="140"/>
  <c r="X37" i="140"/>
  <c r="X38" i="140"/>
  <c r="X39" i="140"/>
  <c r="X40" i="140"/>
  <c r="X41" i="140"/>
  <c r="X42" i="140"/>
  <c r="X43" i="140"/>
  <c r="X44" i="140"/>
  <c r="X45" i="140"/>
  <c r="X46" i="140"/>
  <c r="X47" i="140"/>
  <c r="X48" i="140"/>
  <c r="X3" i="140"/>
  <c r="D50" i="140"/>
  <c r="D50" i="133" s="1"/>
  <c r="E50" i="140"/>
  <c r="E50" i="133" s="1"/>
  <c r="F50" i="140"/>
  <c r="F50" i="133" s="1"/>
  <c r="G50" i="140"/>
  <c r="G50" i="133" s="1"/>
  <c r="H50" i="140"/>
  <c r="H50" i="133" s="1"/>
  <c r="I50" i="140"/>
  <c r="I50" i="133" s="1"/>
  <c r="J50" i="140"/>
  <c r="J50" i="133" s="1"/>
  <c r="K50" i="140"/>
  <c r="K50" i="133" s="1"/>
  <c r="L50" i="140"/>
  <c r="L50" i="133" s="1"/>
  <c r="M50" i="140"/>
  <c r="M50" i="133" s="1"/>
  <c r="N50" i="140"/>
  <c r="N50" i="133" s="1"/>
  <c r="O50" i="140"/>
  <c r="O50" i="133" s="1"/>
  <c r="P50" i="140"/>
  <c r="P50" i="133" s="1"/>
  <c r="Q50" i="140"/>
  <c r="Q50" i="133" s="1"/>
  <c r="R50" i="140"/>
  <c r="R50" i="133" s="1"/>
  <c r="S50" i="140"/>
  <c r="S50" i="133" s="1"/>
  <c r="T50" i="140"/>
  <c r="T50" i="133" s="1"/>
  <c r="U50" i="140"/>
  <c r="U50" i="133" s="1"/>
  <c r="V50" i="140"/>
  <c r="V50" i="133" s="1"/>
  <c r="C50" i="140"/>
  <c r="C50" i="133" s="1"/>
  <c r="A50" i="133"/>
  <c r="A51" i="133"/>
  <c r="A52" i="133"/>
  <c r="A53" i="133"/>
  <c r="A54" i="133"/>
  <c r="A55" i="133"/>
  <c r="A56" i="133"/>
  <c r="A49" i="133"/>
  <c r="B3" i="141" l="1"/>
  <c r="B8" i="141"/>
  <c r="B4" i="141"/>
  <c r="B2" i="141"/>
  <c r="B9" i="141"/>
  <c r="T29" i="133" s="1"/>
  <c r="A51" i="134"/>
  <c r="A209" i="134" s="1"/>
  <c r="A50" i="134"/>
  <c r="A129" i="134" s="1"/>
  <c r="A49" i="134"/>
  <c r="A128" i="134" s="1"/>
  <c r="A55" i="134"/>
  <c r="A213" i="134" s="1"/>
  <c r="A53" i="134"/>
  <c r="A211" i="134" s="1"/>
  <c r="A56" i="134"/>
  <c r="A135" i="134" s="1"/>
  <c r="A54" i="134"/>
  <c r="A133" i="134" s="1"/>
  <c r="A52" i="134"/>
  <c r="A131" i="134" s="1"/>
  <c r="J29" i="133"/>
  <c r="L29" i="133"/>
  <c r="O29" i="133"/>
  <c r="P29" i="133"/>
  <c r="Q29" i="133"/>
  <c r="R29" i="133"/>
  <c r="S29" i="133"/>
  <c r="K29" i="133"/>
  <c r="M29" i="133"/>
  <c r="N29" i="133"/>
  <c r="D29" i="133"/>
  <c r="G29" i="133"/>
  <c r="E29" i="133"/>
  <c r="H29" i="133"/>
  <c r="I29" i="133"/>
  <c r="J11" i="133"/>
  <c r="J21" i="133"/>
  <c r="J30" i="133"/>
  <c r="K21" i="133"/>
  <c r="K30" i="133"/>
  <c r="L11" i="133"/>
  <c r="L30" i="133"/>
  <c r="M11" i="133"/>
  <c r="M21" i="133"/>
  <c r="M30" i="133"/>
  <c r="O21" i="133"/>
  <c r="P11" i="133"/>
  <c r="P21" i="133"/>
  <c r="P30" i="133"/>
  <c r="Q11" i="133"/>
  <c r="Q21" i="133"/>
  <c r="Q30" i="133"/>
  <c r="R11" i="133"/>
  <c r="R21" i="133"/>
  <c r="S11" i="133"/>
  <c r="S21" i="133"/>
  <c r="S30" i="133"/>
  <c r="T11" i="133"/>
  <c r="T21" i="133"/>
  <c r="T30" i="133"/>
  <c r="U11" i="133"/>
  <c r="U21" i="133"/>
  <c r="U30" i="133"/>
  <c r="V11" i="133"/>
  <c r="V21" i="133"/>
  <c r="V30" i="133"/>
  <c r="C11" i="133"/>
  <c r="C21" i="133"/>
  <c r="C30" i="133"/>
  <c r="D11" i="133"/>
  <c r="D30" i="133"/>
  <c r="E11" i="133"/>
  <c r="E21" i="133"/>
  <c r="F11" i="133"/>
  <c r="F21" i="133"/>
  <c r="G30" i="133"/>
  <c r="K11" i="133"/>
  <c r="L21" i="133"/>
  <c r="N11" i="133"/>
  <c r="N21" i="133"/>
  <c r="O11" i="133"/>
  <c r="O30" i="133"/>
  <c r="R30" i="133"/>
  <c r="D21" i="133"/>
  <c r="F30" i="133"/>
  <c r="G11" i="133"/>
  <c r="G21" i="133"/>
  <c r="N30" i="133"/>
  <c r="E30" i="133"/>
  <c r="I11" i="133"/>
  <c r="H11" i="133"/>
  <c r="H30" i="133"/>
  <c r="I30" i="133"/>
  <c r="H21" i="133"/>
  <c r="I21" i="133"/>
  <c r="J9" i="133"/>
  <c r="J22" i="133"/>
  <c r="J26" i="133"/>
  <c r="J27" i="133"/>
  <c r="J28" i="133"/>
  <c r="J36" i="133"/>
  <c r="J48" i="133"/>
  <c r="K2" i="133"/>
  <c r="K27" i="133"/>
  <c r="K48" i="133"/>
  <c r="L26" i="133"/>
  <c r="L28" i="133"/>
  <c r="L36" i="133"/>
  <c r="L48" i="133"/>
  <c r="M2" i="133"/>
  <c r="M22" i="133"/>
  <c r="M27" i="133"/>
  <c r="M28" i="133"/>
  <c r="N22" i="133"/>
  <c r="N28" i="133"/>
  <c r="N36" i="133"/>
  <c r="O2" i="133"/>
  <c r="O9" i="133"/>
  <c r="O27" i="133"/>
  <c r="O36" i="133"/>
  <c r="O48" i="133"/>
  <c r="P2" i="133"/>
  <c r="P9" i="133"/>
  <c r="P22" i="133"/>
  <c r="P26" i="133"/>
  <c r="P27" i="133"/>
  <c r="P28" i="133"/>
  <c r="P36" i="133"/>
  <c r="P48" i="133"/>
  <c r="Q2" i="133"/>
  <c r="Q22" i="133"/>
  <c r="Q26" i="133"/>
  <c r="Q27" i="133"/>
  <c r="Q28" i="133"/>
  <c r="Q36" i="133"/>
  <c r="Q48" i="133"/>
  <c r="R2" i="133"/>
  <c r="R27" i="133"/>
  <c r="R36" i="133"/>
  <c r="R48" i="133"/>
  <c r="S2" i="133"/>
  <c r="S9" i="133"/>
  <c r="S22" i="133"/>
  <c r="S27" i="133"/>
  <c r="S28" i="133"/>
  <c r="S36" i="133"/>
  <c r="S48" i="133"/>
  <c r="T2" i="133"/>
  <c r="T9" i="133"/>
  <c r="T22" i="133"/>
  <c r="T26" i="133"/>
  <c r="T27" i="133"/>
  <c r="T28" i="133"/>
  <c r="T36" i="133"/>
  <c r="T48" i="133"/>
  <c r="U2" i="133"/>
  <c r="U9" i="133"/>
  <c r="U22" i="133"/>
  <c r="U26" i="133"/>
  <c r="U27" i="133"/>
  <c r="U28" i="133"/>
  <c r="U36" i="133"/>
  <c r="U48" i="133"/>
  <c r="V2" i="133"/>
  <c r="V9" i="133"/>
  <c r="V22" i="133"/>
  <c r="V26" i="133"/>
  <c r="V27" i="133"/>
  <c r="V28" i="133"/>
  <c r="V36" i="133"/>
  <c r="V48" i="133"/>
  <c r="C2" i="133"/>
  <c r="C9" i="133"/>
  <c r="C22" i="133"/>
  <c r="C26" i="133"/>
  <c r="C27" i="133"/>
  <c r="C28" i="133"/>
  <c r="C36" i="133"/>
  <c r="C48" i="133"/>
  <c r="D2" i="133"/>
  <c r="D9" i="133"/>
  <c r="D22" i="133"/>
  <c r="D26" i="133"/>
  <c r="D28" i="133"/>
  <c r="E2" i="133"/>
  <c r="E9" i="133"/>
  <c r="E22" i="133"/>
  <c r="E26" i="133"/>
  <c r="E36" i="133"/>
  <c r="E48" i="133"/>
  <c r="F9" i="133"/>
  <c r="F27" i="133"/>
  <c r="F36" i="133"/>
  <c r="F48" i="133"/>
  <c r="G2" i="133"/>
  <c r="G22" i="133"/>
  <c r="G26" i="133"/>
  <c r="G28" i="133"/>
  <c r="G36" i="133"/>
  <c r="K9" i="133"/>
  <c r="K22" i="133"/>
  <c r="K26" i="133"/>
  <c r="K28" i="133"/>
  <c r="K36" i="133"/>
  <c r="L2" i="133"/>
  <c r="L9" i="133"/>
  <c r="L22" i="133"/>
  <c r="L27" i="133"/>
  <c r="M9" i="133"/>
  <c r="M26" i="133"/>
  <c r="M36" i="133"/>
  <c r="M48" i="133"/>
  <c r="N2" i="133"/>
  <c r="N9" i="133"/>
  <c r="N26" i="133"/>
  <c r="N48" i="133"/>
  <c r="O22" i="133"/>
  <c r="O26" i="133"/>
  <c r="O28" i="133"/>
  <c r="Q9" i="133"/>
  <c r="R9" i="133"/>
  <c r="R22" i="133"/>
  <c r="R26" i="133"/>
  <c r="R28" i="133"/>
  <c r="S26" i="133"/>
  <c r="D36" i="133"/>
  <c r="D48" i="133"/>
  <c r="F2" i="133"/>
  <c r="F22" i="133"/>
  <c r="F26" i="133"/>
  <c r="F28" i="133"/>
  <c r="G9" i="133"/>
  <c r="G27" i="133"/>
  <c r="N27" i="133"/>
  <c r="D27" i="133"/>
  <c r="E27" i="133"/>
  <c r="E28" i="133"/>
  <c r="H26" i="133"/>
  <c r="I2" i="133"/>
  <c r="I26" i="133"/>
  <c r="G48" i="133"/>
  <c r="H48" i="133"/>
  <c r="I48" i="133"/>
  <c r="H9" i="133"/>
  <c r="H27" i="133"/>
  <c r="I9" i="133"/>
  <c r="I27" i="133"/>
  <c r="H28" i="133"/>
  <c r="H2" i="133"/>
  <c r="I28" i="133"/>
  <c r="I36" i="133"/>
  <c r="J2" i="133"/>
  <c r="H36" i="133"/>
  <c r="H22" i="133"/>
  <c r="I22" i="133"/>
  <c r="J25" i="133"/>
  <c r="K25" i="133"/>
  <c r="M25" i="133"/>
  <c r="O25" i="133"/>
  <c r="P25" i="133"/>
  <c r="Q25" i="133"/>
  <c r="R25" i="133"/>
  <c r="S25" i="133"/>
  <c r="T25" i="133"/>
  <c r="U25" i="133"/>
  <c r="V25" i="133"/>
  <c r="C25" i="133"/>
  <c r="E25" i="133"/>
  <c r="F25" i="133"/>
  <c r="L25" i="133"/>
  <c r="D25" i="133"/>
  <c r="G25" i="133"/>
  <c r="N25" i="133"/>
  <c r="H25" i="133"/>
  <c r="I25" i="133"/>
  <c r="J15" i="133"/>
  <c r="J16" i="133"/>
  <c r="J17" i="133"/>
  <c r="J18" i="133"/>
  <c r="J45" i="133"/>
  <c r="J46" i="133"/>
  <c r="J47" i="133"/>
  <c r="K16" i="133"/>
  <c r="K18" i="133"/>
  <c r="K46" i="133"/>
  <c r="L45" i="133"/>
  <c r="L46" i="133"/>
  <c r="L47" i="133"/>
  <c r="M15" i="133"/>
  <c r="M16" i="133"/>
  <c r="M17" i="133"/>
  <c r="M18" i="133"/>
  <c r="N15" i="133"/>
  <c r="N17" i="133"/>
  <c r="O15" i="133"/>
  <c r="O16" i="133"/>
  <c r="O17" i="133"/>
  <c r="O18" i="133"/>
  <c r="O45" i="133"/>
  <c r="O46" i="133"/>
  <c r="O47" i="133"/>
  <c r="P15" i="133"/>
  <c r="P16" i="133"/>
  <c r="P17" i="133"/>
  <c r="P18" i="133"/>
  <c r="P45" i="133"/>
  <c r="P46" i="133"/>
  <c r="P47" i="133"/>
  <c r="Q15" i="133"/>
  <c r="Q16" i="133"/>
  <c r="Q17" i="133"/>
  <c r="Q18" i="133"/>
  <c r="Q45" i="133"/>
  <c r="Q46" i="133"/>
  <c r="R18" i="133"/>
  <c r="R46" i="133"/>
  <c r="S15" i="133"/>
  <c r="S16" i="133"/>
  <c r="S17" i="133"/>
  <c r="S18" i="133"/>
  <c r="S45" i="133"/>
  <c r="S46" i="133"/>
  <c r="S47" i="133"/>
  <c r="T15" i="133"/>
  <c r="T16" i="133"/>
  <c r="T17" i="133"/>
  <c r="T18" i="133"/>
  <c r="T45" i="133"/>
  <c r="T46" i="133"/>
  <c r="T47" i="133"/>
  <c r="U15" i="133"/>
  <c r="U16" i="133"/>
  <c r="U17" i="133"/>
  <c r="U18" i="133"/>
  <c r="U45" i="133"/>
  <c r="U46" i="133"/>
  <c r="U47" i="133"/>
  <c r="V15" i="133"/>
  <c r="V16" i="133"/>
  <c r="V17" i="133"/>
  <c r="V18" i="133"/>
  <c r="V46" i="133"/>
  <c r="V47" i="133"/>
  <c r="C15" i="133"/>
  <c r="C16" i="133"/>
  <c r="C17" i="133"/>
  <c r="C18" i="133"/>
  <c r="C45" i="133"/>
  <c r="C47" i="133"/>
  <c r="D45" i="133"/>
  <c r="D47" i="133"/>
  <c r="E15" i="133"/>
  <c r="E16" i="133"/>
  <c r="E17" i="133"/>
  <c r="E18" i="133"/>
  <c r="E45" i="133"/>
  <c r="E46" i="133"/>
  <c r="E47" i="133"/>
  <c r="F15" i="133"/>
  <c r="F17" i="133"/>
  <c r="F18" i="133"/>
  <c r="F45" i="133"/>
  <c r="F46" i="133"/>
  <c r="K15" i="133"/>
  <c r="K17" i="133"/>
  <c r="K45" i="133"/>
  <c r="K47" i="133"/>
  <c r="L15" i="133"/>
  <c r="L16" i="133"/>
  <c r="L17" i="133"/>
  <c r="L18" i="133"/>
  <c r="M45" i="133"/>
  <c r="M46" i="133"/>
  <c r="M47" i="133"/>
  <c r="Q47" i="133"/>
  <c r="R15" i="133"/>
  <c r="R16" i="133"/>
  <c r="R17" i="133"/>
  <c r="R45" i="133"/>
  <c r="R47" i="133"/>
  <c r="C46" i="133"/>
  <c r="D15" i="133"/>
  <c r="D16" i="133"/>
  <c r="D17" i="133"/>
  <c r="D18" i="133"/>
  <c r="V45" i="133"/>
  <c r="F16" i="133"/>
  <c r="F47" i="133"/>
  <c r="G15" i="133"/>
  <c r="G16" i="133"/>
  <c r="G17" i="133"/>
  <c r="G18" i="133"/>
  <c r="N16" i="133"/>
  <c r="N18" i="133"/>
  <c r="N45" i="133"/>
  <c r="N46" i="133"/>
  <c r="N47" i="133"/>
  <c r="D46" i="133"/>
  <c r="I47" i="133"/>
  <c r="I17" i="133"/>
  <c r="H47" i="133"/>
  <c r="H15" i="133"/>
  <c r="I15" i="133"/>
  <c r="H16" i="133"/>
  <c r="I16" i="133"/>
  <c r="H17" i="133"/>
  <c r="H18" i="133"/>
  <c r="G45" i="133"/>
  <c r="I18" i="133"/>
  <c r="H45" i="133"/>
  <c r="I45" i="133"/>
  <c r="G46" i="133"/>
  <c r="H46" i="133"/>
  <c r="I46" i="133"/>
  <c r="G47" i="133"/>
  <c r="C29" i="133" l="1"/>
  <c r="B11" i="141"/>
  <c r="V5" i="133"/>
  <c r="V12" i="133"/>
  <c r="C37" i="133"/>
  <c r="C42" i="133"/>
  <c r="F5" i="133"/>
  <c r="F12" i="133"/>
  <c r="G42" i="133"/>
  <c r="G12" i="133"/>
  <c r="M37" i="133"/>
  <c r="M42" i="133"/>
  <c r="M12" i="133"/>
  <c r="Q37" i="133"/>
  <c r="R37" i="133"/>
  <c r="S37" i="133"/>
  <c r="S12" i="133"/>
  <c r="T37" i="133"/>
  <c r="U5" i="133"/>
  <c r="C5" i="133"/>
  <c r="C12" i="133"/>
  <c r="D37" i="133"/>
  <c r="D42" i="133"/>
  <c r="G37" i="133"/>
  <c r="L5" i="133"/>
  <c r="O5" i="133"/>
  <c r="Q5" i="133"/>
  <c r="D5" i="133"/>
  <c r="D12" i="133"/>
  <c r="E37" i="133"/>
  <c r="E42" i="133"/>
  <c r="H37" i="133"/>
  <c r="M5" i="133"/>
  <c r="N37" i="133"/>
  <c r="P37" i="133"/>
  <c r="T42" i="133"/>
  <c r="V37" i="133"/>
  <c r="E5" i="133"/>
  <c r="E12" i="133"/>
  <c r="F37" i="133"/>
  <c r="F42" i="133"/>
  <c r="G5" i="133"/>
  <c r="H42" i="133"/>
  <c r="K5" i="133"/>
  <c r="L37" i="133"/>
  <c r="N42" i="133"/>
  <c r="N5" i="133"/>
  <c r="Q12" i="133"/>
  <c r="R42" i="133"/>
  <c r="R5" i="133"/>
  <c r="S5" i="133"/>
  <c r="H5" i="133"/>
  <c r="H12" i="133"/>
  <c r="I37" i="133"/>
  <c r="I42" i="133"/>
  <c r="I5" i="133"/>
  <c r="I12" i="133"/>
  <c r="J37" i="133"/>
  <c r="J42" i="133"/>
  <c r="J5" i="133"/>
  <c r="J12" i="133"/>
  <c r="K37" i="133"/>
  <c r="K42" i="133"/>
  <c r="K12" i="133"/>
  <c r="L42" i="133"/>
  <c r="L12" i="133"/>
  <c r="N12" i="133"/>
  <c r="O37" i="133"/>
  <c r="O42" i="133"/>
  <c r="O12" i="133"/>
  <c r="P42" i="133"/>
  <c r="P5" i="133"/>
  <c r="P12" i="133"/>
  <c r="Q42" i="133"/>
  <c r="R12" i="133"/>
  <c r="S42" i="133"/>
  <c r="T5" i="133"/>
  <c r="T12" i="133"/>
  <c r="U37" i="133"/>
  <c r="U42" i="133"/>
  <c r="U12" i="133"/>
  <c r="V42" i="133"/>
  <c r="V29" i="133"/>
  <c r="F29" i="133"/>
  <c r="U29" i="133"/>
  <c r="A130" i="134"/>
  <c r="A134" i="134"/>
  <c r="A207" i="134"/>
  <c r="A208" i="134"/>
  <c r="A132" i="134"/>
  <c r="A210" i="134"/>
  <c r="A212" i="134"/>
  <c r="A214" i="134"/>
  <c r="S94" i="134"/>
  <c r="S15" i="134"/>
  <c r="S173" i="134"/>
  <c r="K25" i="134"/>
  <c r="K183" i="134"/>
  <c r="K104" i="134"/>
  <c r="E81" i="134"/>
  <c r="E2" i="134"/>
  <c r="E160" i="134"/>
  <c r="P26" i="134"/>
  <c r="P105" i="134"/>
  <c r="P184" i="134"/>
  <c r="I11" i="134"/>
  <c r="I169" i="134"/>
  <c r="I90" i="134"/>
  <c r="D11" i="134"/>
  <c r="D90" i="134"/>
  <c r="D169" i="134"/>
  <c r="V187" i="134"/>
  <c r="V29" i="134"/>
  <c r="V108" i="134"/>
  <c r="E45" i="134"/>
  <c r="E203" i="134"/>
  <c r="E124" i="134"/>
  <c r="J15" i="134"/>
  <c r="J94" i="134"/>
  <c r="J173" i="134"/>
  <c r="K115" i="134"/>
  <c r="K194" i="134"/>
  <c r="K36" i="134"/>
  <c r="S27" i="134"/>
  <c r="S106" i="134"/>
  <c r="S185" i="134"/>
  <c r="K27" i="134"/>
  <c r="K185" i="134"/>
  <c r="K106" i="134"/>
  <c r="P30" i="134"/>
  <c r="P109" i="134"/>
  <c r="P188" i="134"/>
  <c r="G47" i="134"/>
  <c r="G126" i="134"/>
  <c r="G205" i="134"/>
  <c r="E18" i="134"/>
  <c r="E176" i="134"/>
  <c r="E97" i="134"/>
  <c r="O15" i="134"/>
  <c r="O173" i="134"/>
  <c r="O94" i="134"/>
  <c r="I48" i="134"/>
  <c r="I127" i="134"/>
  <c r="I206" i="134"/>
  <c r="U48" i="134"/>
  <c r="U127" i="134"/>
  <c r="U206" i="134"/>
  <c r="P9" i="134"/>
  <c r="P88" i="134"/>
  <c r="P167" i="134"/>
  <c r="C100" i="134"/>
  <c r="C21" i="134"/>
  <c r="C179" i="134"/>
  <c r="I46" i="134"/>
  <c r="I204" i="134"/>
  <c r="I125" i="134"/>
  <c r="U97" i="134"/>
  <c r="U176" i="134"/>
  <c r="U18" i="134"/>
  <c r="H25" i="134"/>
  <c r="H104" i="134"/>
  <c r="H183" i="134"/>
  <c r="K184" i="134"/>
  <c r="K105" i="134"/>
  <c r="K26" i="134"/>
  <c r="J48" i="134"/>
  <c r="J206" i="134"/>
  <c r="J127" i="134"/>
  <c r="P11" i="134"/>
  <c r="P90" i="134"/>
  <c r="P169" i="134"/>
  <c r="H125" i="134"/>
  <c r="H204" i="134"/>
  <c r="H46" i="134"/>
  <c r="E174" i="134"/>
  <c r="E16" i="134"/>
  <c r="E95" i="134"/>
  <c r="N15" i="134"/>
  <c r="N94" i="134"/>
  <c r="N173" i="134"/>
  <c r="R88" i="134"/>
  <c r="R167" i="134"/>
  <c r="R9" i="134"/>
  <c r="O127" i="134"/>
  <c r="O206" i="134"/>
  <c r="O48" i="134"/>
  <c r="M45" i="134"/>
  <c r="M124" i="134"/>
  <c r="M203" i="134"/>
  <c r="Q18" i="134"/>
  <c r="Q176" i="134"/>
  <c r="Q97" i="134"/>
  <c r="I26" i="134"/>
  <c r="I105" i="134"/>
  <c r="I184" i="134"/>
  <c r="U27" i="134"/>
  <c r="U106" i="134"/>
  <c r="U185" i="134"/>
  <c r="O36" i="134"/>
  <c r="O194" i="134"/>
  <c r="O115" i="134"/>
  <c r="V100" i="134"/>
  <c r="V21" i="134"/>
  <c r="V179" i="134"/>
  <c r="M30" i="134"/>
  <c r="M188" i="134"/>
  <c r="M109" i="134"/>
  <c r="G175" i="134"/>
  <c r="G96" i="134"/>
  <c r="G17" i="134"/>
  <c r="Q17" i="134"/>
  <c r="Q175" i="134"/>
  <c r="Q96" i="134"/>
  <c r="I2" i="134"/>
  <c r="I81" i="134"/>
  <c r="I160" i="134"/>
  <c r="U26" i="134"/>
  <c r="U184" i="134"/>
  <c r="U105" i="134"/>
  <c r="V169" i="134"/>
  <c r="V11" i="134"/>
  <c r="V90" i="134"/>
  <c r="G16" i="134"/>
  <c r="G95" i="134"/>
  <c r="G174" i="134"/>
  <c r="D124" i="134"/>
  <c r="D203" i="134"/>
  <c r="D45" i="134"/>
  <c r="M16" i="134"/>
  <c r="M174" i="134"/>
  <c r="M95" i="134"/>
  <c r="G107" i="134"/>
  <c r="G186" i="134"/>
  <c r="G28" i="134"/>
  <c r="J26" i="134"/>
  <c r="J184" i="134"/>
  <c r="J105" i="134"/>
  <c r="L95" i="134"/>
  <c r="L16" i="134"/>
  <c r="L174" i="134"/>
  <c r="M15" i="134"/>
  <c r="M94" i="134"/>
  <c r="M173" i="134"/>
  <c r="U9" i="134"/>
  <c r="U167" i="134"/>
  <c r="U88" i="134"/>
  <c r="L94" i="134"/>
  <c r="L173" i="134"/>
  <c r="L15" i="134"/>
  <c r="P47" i="134"/>
  <c r="P205" i="134"/>
  <c r="P126" i="134"/>
  <c r="E185" i="134"/>
  <c r="E106" i="134"/>
  <c r="E27" i="134"/>
  <c r="U2" i="134"/>
  <c r="U81" i="134"/>
  <c r="U160" i="134"/>
  <c r="O11" i="134"/>
  <c r="O169" i="134"/>
  <c r="O90" i="134"/>
  <c r="F174" i="134"/>
  <c r="F95" i="134"/>
  <c r="F16" i="134"/>
  <c r="T18" i="134"/>
  <c r="T176" i="134"/>
  <c r="T97" i="134"/>
  <c r="D27" i="134"/>
  <c r="D106" i="134"/>
  <c r="D185" i="134"/>
  <c r="T48" i="134"/>
  <c r="T206" i="134"/>
  <c r="T127" i="134"/>
  <c r="H17" i="134"/>
  <c r="H175" i="134"/>
  <c r="H96" i="134"/>
  <c r="C17" i="134"/>
  <c r="C96" i="134"/>
  <c r="C175" i="134"/>
  <c r="V25" i="134"/>
  <c r="V104" i="134"/>
  <c r="V183" i="134"/>
  <c r="N9" i="134"/>
  <c r="N88" i="134"/>
  <c r="N167" i="134"/>
  <c r="T115" i="134"/>
  <c r="T36" i="134"/>
  <c r="T194" i="134"/>
  <c r="N11" i="134"/>
  <c r="N90" i="134"/>
  <c r="N169" i="134"/>
  <c r="I16" i="134"/>
  <c r="I95" i="134"/>
  <c r="I174" i="134"/>
  <c r="C16" i="134"/>
  <c r="C174" i="134"/>
  <c r="C95" i="134"/>
  <c r="U104" i="134"/>
  <c r="U183" i="134"/>
  <c r="U25" i="134"/>
  <c r="N2" i="134"/>
  <c r="N160" i="134"/>
  <c r="N81" i="134"/>
  <c r="T28" i="134"/>
  <c r="T186" i="134"/>
  <c r="T107" i="134"/>
  <c r="M186" i="134"/>
  <c r="M28" i="134"/>
  <c r="M107" i="134"/>
  <c r="J30" i="134"/>
  <c r="J109" i="134"/>
  <c r="J188" i="134"/>
  <c r="K94" i="134"/>
  <c r="K173" i="134"/>
  <c r="K15" i="134"/>
  <c r="K176" i="134"/>
  <c r="K18" i="134"/>
  <c r="K97" i="134"/>
  <c r="C2" i="134"/>
  <c r="C81" i="134"/>
  <c r="C160" i="134"/>
  <c r="I173" i="134"/>
  <c r="I94" i="134"/>
  <c r="I15" i="134"/>
  <c r="F46" i="134"/>
  <c r="F125" i="134"/>
  <c r="F204" i="134"/>
  <c r="K16" i="134"/>
  <c r="K95" i="134"/>
  <c r="K174" i="134"/>
  <c r="F28" i="134"/>
  <c r="F107" i="134"/>
  <c r="F186" i="134"/>
  <c r="V206" i="134"/>
  <c r="V127" i="134"/>
  <c r="V48" i="134"/>
  <c r="Q180" i="134"/>
  <c r="Q22" i="134"/>
  <c r="Q101" i="134"/>
  <c r="G30" i="134"/>
  <c r="G109" i="134"/>
  <c r="G188" i="134"/>
  <c r="J169" i="134"/>
  <c r="J11" i="134"/>
  <c r="J90" i="134"/>
  <c r="D187" i="134"/>
  <c r="D29" i="134"/>
  <c r="D108" i="134"/>
  <c r="P15" i="134"/>
  <c r="P94" i="134"/>
  <c r="P173" i="134"/>
  <c r="T22" i="134"/>
  <c r="T180" i="134"/>
  <c r="T101" i="134"/>
  <c r="H47" i="134"/>
  <c r="H205" i="134"/>
  <c r="H126" i="134"/>
  <c r="C46" i="134"/>
  <c r="C204" i="134"/>
  <c r="C125" i="134"/>
  <c r="F18" i="134"/>
  <c r="F176" i="134"/>
  <c r="F97" i="134"/>
  <c r="V18" i="134"/>
  <c r="V176" i="134"/>
  <c r="V97" i="134"/>
  <c r="S45" i="134"/>
  <c r="S203" i="134"/>
  <c r="S124" i="134"/>
  <c r="O47" i="134"/>
  <c r="O205" i="134"/>
  <c r="O126" i="134"/>
  <c r="J46" i="134"/>
  <c r="J204" i="134"/>
  <c r="J125" i="134"/>
  <c r="Q25" i="134"/>
  <c r="Q183" i="134"/>
  <c r="Q104" i="134"/>
  <c r="H2" i="134"/>
  <c r="H81" i="134"/>
  <c r="H160" i="134"/>
  <c r="F101" i="134"/>
  <c r="F22" i="134"/>
  <c r="F180" i="134"/>
  <c r="M9" i="134"/>
  <c r="M88" i="134"/>
  <c r="M167" i="134"/>
  <c r="E36" i="134"/>
  <c r="E115" i="134"/>
  <c r="E194" i="134"/>
  <c r="V28" i="134"/>
  <c r="V186" i="134"/>
  <c r="V107" i="134"/>
  <c r="T167" i="134"/>
  <c r="T88" i="134"/>
  <c r="T9" i="134"/>
  <c r="P127" i="134"/>
  <c r="P48" i="134"/>
  <c r="P206" i="134"/>
  <c r="L48" i="134"/>
  <c r="L127" i="134"/>
  <c r="L206" i="134"/>
  <c r="H21" i="134"/>
  <c r="H179" i="134"/>
  <c r="H100" i="134"/>
  <c r="F11" i="134"/>
  <c r="F90" i="134"/>
  <c r="F169" i="134"/>
  <c r="R179" i="134"/>
  <c r="R100" i="134"/>
  <c r="R21" i="134"/>
  <c r="M29" i="134"/>
  <c r="M108" i="134"/>
  <c r="M187" i="134"/>
  <c r="E46" i="134"/>
  <c r="E204" i="134"/>
  <c r="E125" i="134"/>
  <c r="S26" i="134"/>
  <c r="S184" i="134"/>
  <c r="S105" i="134"/>
  <c r="N46" i="134"/>
  <c r="N204" i="134"/>
  <c r="N125" i="134"/>
  <c r="R125" i="134"/>
  <c r="R204" i="134"/>
  <c r="R46" i="134"/>
  <c r="H9" i="134"/>
  <c r="H88" i="134"/>
  <c r="H167" i="134"/>
  <c r="V2" i="134"/>
  <c r="V160" i="134"/>
  <c r="V81" i="134"/>
  <c r="C30" i="134"/>
  <c r="C188" i="134"/>
  <c r="C109" i="134"/>
  <c r="U29" i="134"/>
  <c r="U108" i="134"/>
  <c r="U187" i="134"/>
  <c r="D26" i="134"/>
  <c r="D184" i="134"/>
  <c r="D105" i="134"/>
  <c r="K2" i="134"/>
  <c r="K160" i="134"/>
  <c r="K81" i="134"/>
  <c r="T187" i="134"/>
  <c r="T108" i="134"/>
  <c r="T29" i="134"/>
  <c r="N18" i="134"/>
  <c r="N176" i="134"/>
  <c r="N97" i="134"/>
  <c r="Q46" i="134"/>
  <c r="Q125" i="134"/>
  <c r="Q204" i="134"/>
  <c r="H48" i="134"/>
  <c r="H206" i="134"/>
  <c r="H127" i="134"/>
  <c r="U36" i="134"/>
  <c r="U115" i="134"/>
  <c r="U194" i="134"/>
  <c r="P2" i="134"/>
  <c r="P160" i="134"/>
  <c r="P81" i="134"/>
  <c r="C11" i="134"/>
  <c r="C169" i="134"/>
  <c r="C90" i="134"/>
  <c r="N16" i="134"/>
  <c r="N95" i="134"/>
  <c r="N174" i="134"/>
  <c r="U175" i="134"/>
  <c r="U17" i="134"/>
  <c r="U96" i="134"/>
  <c r="N25" i="134"/>
  <c r="N183" i="134"/>
  <c r="N104" i="134"/>
  <c r="K180" i="134"/>
  <c r="K101" i="134"/>
  <c r="K22" i="134"/>
  <c r="J36" i="134"/>
  <c r="J194" i="134"/>
  <c r="J115" i="134"/>
  <c r="G97" i="134"/>
  <c r="G18" i="134"/>
  <c r="G176" i="134"/>
  <c r="U16" i="134"/>
  <c r="U174" i="134"/>
  <c r="U95" i="134"/>
  <c r="G25" i="134"/>
  <c r="G104" i="134"/>
  <c r="G183" i="134"/>
  <c r="K9" i="134"/>
  <c r="K167" i="134"/>
  <c r="K88" i="134"/>
  <c r="J28" i="134"/>
  <c r="J107" i="134"/>
  <c r="J186" i="134"/>
  <c r="D126" i="134"/>
  <c r="D205" i="134"/>
  <c r="D47" i="134"/>
  <c r="D104" i="134"/>
  <c r="D183" i="134"/>
  <c r="D25" i="134"/>
  <c r="G36" i="134"/>
  <c r="G194" i="134"/>
  <c r="G115" i="134"/>
  <c r="O27" i="134"/>
  <c r="O106" i="134"/>
  <c r="O185" i="134"/>
  <c r="P29" i="134"/>
  <c r="P187" i="134"/>
  <c r="P108" i="134"/>
  <c r="H45" i="134"/>
  <c r="H124" i="134"/>
  <c r="H203" i="134"/>
  <c r="T47" i="134"/>
  <c r="T126" i="134"/>
  <c r="T205" i="134"/>
  <c r="H184" i="134"/>
  <c r="H26" i="134"/>
  <c r="H105" i="134"/>
  <c r="C47" i="134"/>
  <c r="C205" i="134"/>
  <c r="C126" i="134"/>
  <c r="Q94" i="134"/>
  <c r="Q173" i="134"/>
  <c r="Q15" i="134"/>
  <c r="E28" i="134"/>
  <c r="E107" i="134"/>
  <c r="E186" i="134"/>
  <c r="G26" i="134"/>
  <c r="G105" i="134"/>
  <c r="G184" i="134"/>
  <c r="O2" i="134"/>
  <c r="O81" i="134"/>
  <c r="O160" i="134"/>
  <c r="U179" i="134"/>
  <c r="U100" i="134"/>
  <c r="U21" i="134"/>
  <c r="G45" i="134"/>
  <c r="G124" i="134"/>
  <c r="G203" i="134"/>
  <c r="C45" i="134"/>
  <c r="C203" i="134"/>
  <c r="C124" i="134"/>
  <c r="L47" i="134"/>
  <c r="L126" i="134"/>
  <c r="L205" i="134"/>
  <c r="C27" i="134"/>
  <c r="C106" i="134"/>
  <c r="C185" i="134"/>
  <c r="L46" i="134"/>
  <c r="L125" i="134"/>
  <c r="L204" i="134"/>
  <c r="N179" i="134"/>
  <c r="N100" i="134"/>
  <c r="N21" i="134"/>
  <c r="I108" i="134"/>
  <c r="I29" i="134"/>
  <c r="I187" i="134"/>
  <c r="K45" i="134"/>
  <c r="K203" i="134"/>
  <c r="K124" i="134"/>
  <c r="L45" i="134"/>
  <c r="L124" i="134"/>
  <c r="L203" i="134"/>
  <c r="N27" i="134"/>
  <c r="N106" i="134"/>
  <c r="N185" i="134"/>
  <c r="C22" i="134"/>
  <c r="C180" i="134"/>
  <c r="C101" i="134"/>
  <c r="N22" i="134"/>
  <c r="N101" i="134"/>
  <c r="N180" i="134"/>
  <c r="K21" i="134"/>
  <c r="K100" i="134"/>
  <c r="K179" i="134"/>
  <c r="P18" i="134"/>
  <c r="P176" i="134"/>
  <c r="P97" i="134"/>
  <c r="T11" i="134"/>
  <c r="T169" i="134"/>
  <c r="T90" i="134"/>
  <c r="D96" i="134"/>
  <c r="D17" i="134"/>
  <c r="D175" i="134"/>
  <c r="P96" i="134"/>
  <c r="P17" i="134"/>
  <c r="P175" i="134"/>
  <c r="F106" i="134"/>
  <c r="F185" i="134"/>
  <c r="F27" i="134"/>
  <c r="V47" i="134"/>
  <c r="V126" i="134"/>
  <c r="V205" i="134"/>
  <c r="S183" i="134"/>
  <c r="S25" i="134"/>
  <c r="S104" i="134"/>
  <c r="M36" i="134"/>
  <c r="M194" i="134"/>
  <c r="M115" i="134"/>
  <c r="T184" i="134"/>
  <c r="T26" i="134"/>
  <c r="T105" i="134"/>
  <c r="S21" i="134"/>
  <c r="S179" i="134"/>
  <c r="S100" i="134"/>
  <c r="D94" i="134"/>
  <c r="D173" i="134"/>
  <c r="D15" i="134"/>
  <c r="S204" i="134"/>
  <c r="S125" i="134"/>
  <c r="S46" i="134"/>
  <c r="I186" i="134"/>
  <c r="I28" i="134"/>
  <c r="I107" i="134"/>
  <c r="E48" i="134"/>
  <c r="E127" i="134"/>
  <c r="E206" i="134"/>
  <c r="M2" i="134"/>
  <c r="M81" i="134"/>
  <c r="M160" i="134"/>
  <c r="I175" i="134"/>
  <c r="I17" i="134"/>
  <c r="I96" i="134"/>
  <c r="R47" i="134"/>
  <c r="R205" i="134"/>
  <c r="R126" i="134"/>
  <c r="F17" i="134"/>
  <c r="F175" i="134"/>
  <c r="F96" i="134"/>
  <c r="V17" i="134"/>
  <c r="V96" i="134"/>
  <c r="V175" i="134"/>
  <c r="S18" i="134"/>
  <c r="S176" i="134"/>
  <c r="S97" i="134"/>
  <c r="O46" i="134"/>
  <c r="O125" i="134"/>
  <c r="O204" i="134"/>
  <c r="J45" i="134"/>
  <c r="J203" i="134"/>
  <c r="J124" i="134"/>
  <c r="P25" i="134"/>
  <c r="P183" i="134"/>
  <c r="P104" i="134"/>
  <c r="H107" i="134"/>
  <c r="H186" i="134"/>
  <c r="H28" i="134"/>
  <c r="F2" i="134"/>
  <c r="F81" i="134"/>
  <c r="F160" i="134"/>
  <c r="L27" i="134"/>
  <c r="L106" i="134"/>
  <c r="L185" i="134"/>
  <c r="E184" i="134"/>
  <c r="E26" i="134"/>
  <c r="E105" i="134"/>
  <c r="V27" i="134"/>
  <c r="V185" i="134"/>
  <c r="V106" i="134"/>
  <c r="T2" i="134"/>
  <c r="T81" i="134"/>
  <c r="T160" i="134"/>
  <c r="P36" i="134"/>
  <c r="P115" i="134"/>
  <c r="P194" i="134"/>
  <c r="L36" i="134"/>
  <c r="L194" i="134"/>
  <c r="L115" i="134"/>
  <c r="I109" i="134"/>
  <c r="I188" i="134"/>
  <c r="I30" i="134"/>
  <c r="E21" i="134"/>
  <c r="E179" i="134"/>
  <c r="E100" i="134"/>
  <c r="R11" i="134"/>
  <c r="R90" i="134"/>
  <c r="R169" i="134"/>
  <c r="K108" i="134"/>
  <c r="K29" i="134"/>
  <c r="K187" i="134"/>
  <c r="N47" i="134"/>
  <c r="N205" i="134"/>
  <c r="N126" i="134"/>
  <c r="U47" i="134"/>
  <c r="U126" i="134"/>
  <c r="U205" i="134"/>
  <c r="J16" i="134"/>
  <c r="J95" i="134"/>
  <c r="J174" i="134"/>
  <c r="L2" i="134"/>
  <c r="L160" i="134"/>
  <c r="L81" i="134"/>
  <c r="V9" i="134"/>
  <c r="V167" i="134"/>
  <c r="V88" i="134"/>
  <c r="K48" i="134"/>
  <c r="K206" i="134"/>
  <c r="K127" i="134"/>
  <c r="Q11" i="134"/>
  <c r="Q169" i="134"/>
  <c r="Q90" i="134"/>
  <c r="R94" i="134"/>
  <c r="R173" i="134"/>
  <c r="R15" i="134"/>
  <c r="O174" i="134"/>
  <c r="O16" i="134"/>
  <c r="O95" i="134"/>
  <c r="R28" i="134"/>
  <c r="R107" i="134"/>
  <c r="R186" i="134"/>
  <c r="P22" i="134"/>
  <c r="P101" i="134"/>
  <c r="P180" i="134"/>
  <c r="Q47" i="134"/>
  <c r="Q205" i="134"/>
  <c r="Q126" i="134"/>
  <c r="R18" i="134"/>
  <c r="R176" i="134"/>
  <c r="R97" i="134"/>
  <c r="I25" i="134"/>
  <c r="I104" i="134"/>
  <c r="I183" i="134"/>
  <c r="K28" i="134"/>
  <c r="K186" i="134"/>
  <c r="K107" i="134"/>
  <c r="S180" i="134"/>
  <c r="S22" i="134"/>
  <c r="S101" i="134"/>
  <c r="N30" i="134"/>
  <c r="N109" i="134"/>
  <c r="N188" i="134"/>
  <c r="P21" i="134"/>
  <c r="P100" i="134"/>
  <c r="P179" i="134"/>
  <c r="M47" i="134"/>
  <c r="M126" i="134"/>
  <c r="M205" i="134"/>
  <c r="D22" i="134"/>
  <c r="D180" i="134"/>
  <c r="D101" i="134"/>
  <c r="G179" i="134"/>
  <c r="G100" i="134"/>
  <c r="G21" i="134"/>
  <c r="S29" i="134"/>
  <c r="S187" i="134"/>
  <c r="S108" i="134"/>
  <c r="U186" i="134"/>
  <c r="U28" i="134"/>
  <c r="U107" i="134"/>
  <c r="R29" i="134"/>
  <c r="R108" i="134"/>
  <c r="R187" i="134"/>
  <c r="D2" i="134"/>
  <c r="D81" i="134"/>
  <c r="D160" i="134"/>
  <c r="F188" i="134"/>
  <c r="F109" i="134"/>
  <c r="F30" i="134"/>
  <c r="I45" i="134"/>
  <c r="I203" i="134"/>
  <c r="I124" i="134"/>
  <c r="U94" i="134"/>
  <c r="U15" i="134"/>
  <c r="U173" i="134"/>
  <c r="M17" i="134"/>
  <c r="M96" i="134"/>
  <c r="M175" i="134"/>
  <c r="O28" i="134"/>
  <c r="O107" i="134"/>
  <c r="O186" i="134"/>
  <c r="R115" i="134"/>
  <c r="R36" i="134"/>
  <c r="R194" i="134"/>
  <c r="D21" i="134"/>
  <c r="D179" i="134"/>
  <c r="D100" i="134"/>
  <c r="L175" i="134"/>
  <c r="L17" i="134"/>
  <c r="L96" i="134"/>
  <c r="Q16" i="134"/>
  <c r="Q174" i="134"/>
  <c r="Q95" i="134"/>
  <c r="L25" i="134"/>
  <c r="L183" i="134"/>
  <c r="L104" i="134"/>
  <c r="O184" i="134"/>
  <c r="O26" i="134"/>
  <c r="O105" i="134"/>
  <c r="U22" i="134"/>
  <c r="U101" i="134"/>
  <c r="U180" i="134"/>
  <c r="O167" i="134"/>
  <c r="O88" i="134"/>
  <c r="O9" i="134"/>
  <c r="R30" i="134"/>
  <c r="R109" i="134"/>
  <c r="R188" i="134"/>
  <c r="M11" i="134"/>
  <c r="M90" i="134"/>
  <c r="M169" i="134"/>
  <c r="I18" i="134"/>
  <c r="I97" i="134"/>
  <c r="I176" i="134"/>
  <c r="T46" i="134"/>
  <c r="T204" i="134"/>
  <c r="T125" i="134"/>
  <c r="F183" i="134"/>
  <c r="F104" i="134"/>
  <c r="F25" i="134"/>
  <c r="O22" i="134"/>
  <c r="O101" i="134"/>
  <c r="O180" i="134"/>
  <c r="R2" i="134"/>
  <c r="R160" i="134"/>
  <c r="R81" i="134"/>
  <c r="J22" i="134"/>
  <c r="J180" i="134"/>
  <c r="J101" i="134"/>
  <c r="L30" i="134"/>
  <c r="L188" i="134"/>
  <c r="L109" i="134"/>
  <c r="F47" i="134"/>
  <c r="F126" i="134"/>
  <c r="F205" i="134"/>
  <c r="T124" i="134"/>
  <c r="T203" i="134"/>
  <c r="T45" i="134"/>
  <c r="E25" i="134"/>
  <c r="E183" i="134"/>
  <c r="E104" i="134"/>
  <c r="N48" i="134"/>
  <c r="N127" i="134"/>
  <c r="N206" i="134"/>
  <c r="Q48" i="134"/>
  <c r="Q127" i="134"/>
  <c r="Q206" i="134"/>
  <c r="N36" i="134"/>
  <c r="N194" i="134"/>
  <c r="N115" i="134"/>
  <c r="J9" i="134"/>
  <c r="J88" i="134"/>
  <c r="J167" i="134"/>
  <c r="U11" i="134"/>
  <c r="U90" i="134"/>
  <c r="U169" i="134"/>
  <c r="J29" i="134"/>
  <c r="J187" i="134"/>
  <c r="J108" i="134"/>
  <c r="H18" i="134"/>
  <c r="H97" i="134"/>
  <c r="H176" i="134"/>
  <c r="C176" i="134"/>
  <c r="C18" i="134"/>
  <c r="C97" i="134"/>
  <c r="C25" i="134"/>
  <c r="C183" i="134"/>
  <c r="C104" i="134"/>
  <c r="N26" i="134"/>
  <c r="N105" i="134"/>
  <c r="N184" i="134"/>
  <c r="C26" i="134"/>
  <c r="C184" i="134"/>
  <c r="C105" i="134"/>
  <c r="N28" i="134"/>
  <c r="N107" i="134"/>
  <c r="N186" i="134"/>
  <c r="K30" i="134"/>
  <c r="K188" i="134"/>
  <c r="K109" i="134"/>
  <c r="P203" i="134"/>
  <c r="P124" i="134"/>
  <c r="P45" i="134"/>
  <c r="T21" i="134"/>
  <c r="T100" i="134"/>
  <c r="T179" i="134"/>
  <c r="H29" i="134"/>
  <c r="H108" i="134"/>
  <c r="H187" i="134"/>
  <c r="K17" i="134"/>
  <c r="K96" i="134"/>
  <c r="K175" i="134"/>
  <c r="T16" i="134"/>
  <c r="T174" i="134"/>
  <c r="T95" i="134"/>
  <c r="H36" i="134"/>
  <c r="H194" i="134"/>
  <c r="H115" i="134"/>
  <c r="G185" i="134"/>
  <c r="G106" i="134"/>
  <c r="G27" i="134"/>
  <c r="C167" i="134"/>
  <c r="C9" i="134"/>
  <c r="C88" i="134"/>
  <c r="Q27" i="134"/>
  <c r="Q185" i="134"/>
  <c r="Q106" i="134"/>
  <c r="L21" i="134"/>
  <c r="L179" i="134"/>
  <c r="L100" i="134"/>
  <c r="H16" i="134"/>
  <c r="H174" i="134"/>
  <c r="H95" i="134"/>
  <c r="T15" i="134"/>
  <c r="T94" i="134"/>
  <c r="T173" i="134"/>
  <c r="J2" i="134"/>
  <c r="J160" i="134"/>
  <c r="J81" i="134"/>
  <c r="M48" i="134"/>
  <c r="M127" i="134"/>
  <c r="M206" i="134"/>
  <c r="T27" i="134"/>
  <c r="T106" i="134"/>
  <c r="T185" i="134"/>
  <c r="M27" i="134"/>
  <c r="M106" i="134"/>
  <c r="M185" i="134"/>
  <c r="S109" i="134"/>
  <c r="S188" i="134"/>
  <c r="S30" i="134"/>
  <c r="J21" i="134"/>
  <c r="J179" i="134"/>
  <c r="J100" i="134"/>
  <c r="G29" i="134"/>
  <c r="G187" i="134"/>
  <c r="G108" i="134"/>
  <c r="P16" i="134"/>
  <c r="P95" i="134"/>
  <c r="P174" i="134"/>
  <c r="F45" i="134"/>
  <c r="F124" i="134"/>
  <c r="F203" i="134"/>
  <c r="R104" i="134"/>
  <c r="R183" i="134"/>
  <c r="R25" i="134"/>
  <c r="M26" i="134"/>
  <c r="M105" i="134"/>
  <c r="M184" i="134"/>
  <c r="I179" i="134"/>
  <c r="I21" i="134"/>
  <c r="I100" i="134"/>
  <c r="I47" i="134"/>
  <c r="I126" i="134"/>
  <c r="I205" i="134"/>
  <c r="R45" i="134"/>
  <c r="R203" i="134"/>
  <c r="R124" i="134"/>
  <c r="F173" i="134"/>
  <c r="F94" i="134"/>
  <c r="F15" i="134"/>
  <c r="V16" i="134"/>
  <c r="V174" i="134"/>
  <c r="V95" i="134"/>
  <c r="S96" i="134"/>
  <c r="S175" i="134"/>
  <c r="S17" i="134"/>
  <c r="O45" i="134"/>
  <c r="O124" i="134"/>
  <c r="O203" i="134"/>
  <c r="J176" i="134"/>
  <c r="J97" i="134"/>
  <c r="J18" i="134"/>
  <c r="O183" i="134"/>
  <c r="O25" i="134"/>
  <c r="O104" i="134"/>
  <c r="I27" i="134"/>
  <c r="I106" i="134"/>
  <c r="I185" i="134"/>
  <c r="D48" i="134"/>
  <c r="D206" i="134"/>
  <c r="D127" i="134"/>
  <c r="L22" i="134"/>
  <c r="L101" i="134"/>
  <c r="L180" i="134"/>
  <c r="E22" i="134"/>
  <c r="E180" i="134"/>
  <c r="E101" i="134"/>
  <c r="V26" i="134"/>
  <c r="V184" i="134"/>
  <c r="V105" i="134"/>
  <c r="S48" i="134"/>
  <c r="S127" i="134"/>
  <c r="S206" i="134"/>
  <c r="P28" i="134"/>
  <c r="P107" i="134"/>
  <c r="P186" i="134"/>
  <c r="L28" i="134"/>
  <c r="L107" i="134"/>
  <c r="L186" i="134"/>
  <c r="H30" i="134"/>
  <c r="H109" i="134"/>
  <c r="H188" i="134"/>
  <c r="E169" i="134"/>
  <c r="E11" i="134"/>
  <c r="E90" i="134"/>
  <c r="Q30" i="134"/>
  <c r="Q109" i="134"/>
  <c r="Q188" i="134"/>
  <c r="F187" i="134"/>
  <c r="F29" i="134"/>
  <c r="F108" i="134"/>
  <c r="R16" i="134"/>
  <c r="R174" i="134"/>
  <c r="R95" i="134"/>
  <c r="O17" i="134"/>
  <c r="O175" i="134"/>
  <c r="O96" i="134"/>
  <c r="H185" i="134"/>
  <c r="H27" i="134"/>
  <c r="H106" i="134"/>
  <c r="S186" i="134"/>
  <c r="S107" i="134"/>
  <c r="S28" i="134"/>
  <c r="U46" i="134"/>
  <c r="U125" i="134"/>
  <c r="U204" i="134"/>
  <c r="J25" i="134"/>
  <c r="J183" i="134"/>
  <c r="J104" i="134"/>
  <c r="D107" i="134"/>
  <c r="D28" i="134"/>
  <c r="D186" i="134"/>
  <c r="E30" i="134"/>
  <c r="E109" i="134"/>
  <c r="E188" i="134"/>
  <c r="N45" i="134"/>
  <c r="N203" i="134"/>
  <c r="N124" i="134"/>
  <c r="U124" i="134"/>
  <c r="U203" i="134"/>
  <c r="U45" i="134"/>
  <c r="R26" i="134"/>
  <c r="R184" i="134"/>
  <c r="R105" i="134"/>
  <c r="E175" i="134"/>
  <c r="E17" i="134"/>
  <c r="E96" i="134"/>
  <c r="N17" i="134"/>
  <c r="N96" i="134"/>
  <c r="N175" i="134"/>
  <c r="R101" i="134"/>
  <c r="R22" i="134"/>
  <c r="R180" i="134"/>
  <c r="S88" i="134"/>
  <c r="S9" i="134"/>
  <c r="S167" i="134"/>
  <c r="M204" i="134"/>
  <c r="M46" i="134"/>
  <c r="M125" i="134"/>
  <c r="Q203" i="134"/>
  <c r="Q124" i="134"/>
  <c r="Q45" i="134"/>
  <c r="G48" i="134"/>
  <c r="G127" i="134"/>
  <c r="G206" i="134"/>
  <c r="D88" i="134"/>
  <c r="D9" i="134"/>
  <c r="D167" i="134"/>
  <c r="S2" i="134"/>
  <c r="S81" i="134"/>
  <c r="S160" i="134"/>
  <c r="G90" i="134"/>
  <c r="G169" i="134"/>
  <c r="G11" i="134"/>
  <c r="V188" i="134"/>
  <c r="V109" i="134"/>
  <c r="V30" i="134"/>
  <c r="O21" i="134"/>
  <c r="O179" i="134"/>
  <c r="O100" i="134"/>
  <c r="G46" i="134"/>
  <c r="G204" i="134"/>
  <c r="G125" i="134"/>
  <c r="E15" i="134"/>
  <c r="E173" i="134"/>
  <c r="E94" i="134"/>
  <c r="M18" i="134"/>
  <c r="M176" i="134"/>
  <c r="M97" i="134"/>
  <c r="Q9" i="134"/>
  <c r="Q88" i="134"/>
  <c r="Q167" i="134"/>
  <c r="R48" i="134"/>
  <c r="R206" i="134"/>
  <c r="R127" i="134"/>
  <c r="Q187" i="134"/>
  <c r="Q29" i="134"/>
  <c r="Q108" i="134"/>
  <c r="L18" i="134"/>
  <c r="L176" i="134"/>
  <c r="L97" i="134"/>
  <c r="C127" i="134"/>
  <c r="C206" i="134"/>
  <c r="C48" i="134"/>
  <c r="J106" i="134"/>
  <c r="J27" i="134"/>
  <c r="J185" i="134"/>
  <c r="M21" i="134"/>
  <c r="M179" i="134"/>
  <c r="M100" i="134"/>
  <c r="C115" i="134"/>
  <c r="C36" i="134"/>
  <c r="C194" i="134"/>
  <c r="R27" i="134"/>
  <c r="R106" i="134"/>
  <c r="R185" i="134"/>
  <c r="U30" i="134"/>
  <c r="U188" i="134"/>
  <c r="U109" i="134"/>
  <c r="O29" i="134"/>
  <c r="O108" i="134"/>
  <c r="O187" i="134"/>
  <c r="G15" i="134"/>
  <c r="G173" i="134"/>
  <c r="G94" i="134"/>
  <c r="C107" i="134"/>
  <c r="C186" i="134"/>
  <c r="C28" i="134"/>
  <c r="O30" i="134"/>
  <c r="O109" i="134"/>
  <c r="O188" i="134"/>
  <c r="L29" i="134"/>
  <c r="L187" i="134"/>
  <c r="L108" i="134"/>
  <c r="G180" i="134"/>
  <c r="G101" i="134"/>
  <c r="G22" i="134"/>
  <c r="L11" i="134"/>
  <c r="L90" i="134"/>
  <c r="L169" i="134"/>
  <c r="K47" i="134"/>
  <c r="K205" i="134"/>
  <c r="K126" i="134"/>
  <c r="P204" i="134"/>
  <c r="P125" i="134"/>
  <c r="P46" i="134"/>
  <c r="I22" i="134"/>
  <c r="I101" i="134"/>
  <c r="I180" i="134"/>
  <c r="G2" i="134"/>
  <c r="G81" i="134"/>
  <c r="G160" i="134"/>
  <c r="Q194" i="134"/>
  <c r="Q115" i="134"/>
  <c r="Q36" i="134"/>
  <c r="T30" i="134"/>
  <c r="T188" i="134"/>
  <c r="T109" i="134"/>
  <c r="V203" i="134"/>
  <c r="V45" i="134"/>
  <c r="V124" i="134"/>
  <c r="T96" i="134"/>
  <c r="T17" i="134"/>
  <c r="T175" i="134"/>
  <c r="H22" i="134"/>
  <c r="H180" i="134"/>
  <c r="H101" i="134"/>
  <c r="F48" i="134"/>
  <c r="F127" i="134"/>
  <c r="F206" i="134"/>
  <c r="Q28" i="134"/>
  <c r="Q107" i="134"/>
  <c r="Q186" i="134"/>
  <c r="D176" i="134"/>
  <c r="D97" i="134"/>
  <c r="D18" i="134"/>
  <c r="K46" i="134"/>
  <c r="K125" i="134"/>
  <c r="K204" i="134"/>
  <c r="F194" i="134"/>
  <c r="F36" i="134"/>
  <c r="F115" i="134"/>
  <c r="E29" i="134"/>
  <c r="E108" i="134"/>
  <c r="E187" i="134"/>
  <c r="C173" i="134"/>
  <c r="C15" i="134"/>
  <c r="C94" i="134"/>
  <c r="T183" i="134"/>
  <c r="T104" i="134"/>
  <c r="T25" i="134"/>
  <c r="G167" i="134"/>
  <c r="G9" i="134"/>
  <c r="G88" i="134"/>
  <c r="Q26" i="134"/>
  <c r="Q105" i="134"/>
  <c r="Q184" i="134"/>
  <c r="K11" i="134"/>
  <c r="K90" i="134"/>
  <c r="K169" i="134"/>
  <c r="D16" i="134"/>
  <c r="D95" i="134"/>
  <c r="D174" i="134"/>
  <c r="S47" i="134"/>
  <c r="S126" i="134"/>
  <c r="S205" i="134"/>
  <c r="I36" i="134"/>
  <c r="I115" i="134"/>
  <c r="I194" i="134"/>
  <c r="F88" i="134"/>
  <c r="F167" i="134"/>
  <c r="F9" i="134"/>
  <c r="M22" i="134"/>
  <c r="M101" i="134"/>
  <c r="M180" i="134"/>
  <c r="H173" i="134"/>
  <c r="H94" i="134"/>
  <c r="H15" i="134"/>
  <c r="V46" i="134"/>
  <c r="V125" i="134"/>
  <c r="V204" i="134"/>
  <c r="J126" i="134"/>
  <c r="J205" i="134"/>
  <c r="J47" i="134"/>
  <c r="F26" i="134"/>
  <c r="F184" i="134"/>
  <c r="F105" i="134"/>
  <c r="V36" i="134"/>
  <c r="V194" i="134"/>
  <c r="V115" i="134"/>
  <c r="Q2" i="134"/>
  <c r="Q81" i="134"/>
  <c r="Q160" i="134"/>
  <c r="F21" i="134"/>
  <c r="F179" i="134"/>
  <c r="F100" i="134"/>
  <c r="S11" i="134"/>
  <c r="S169" i="134"/>
  <c r="S90" i="134"/>
  <c r="N29" i="134"/>
  <c r="N108" i="134"/>
  <c r="N187" i="134"/>
  <c r="D125" i="134"/>
  <c r="D46" i="134"/>
  <c r="D204" i="134"/>
  <c r="R96" i="134"/>
  <c r="R17" i="134"/>
  <c r="R175" i="134"/>
  <c r="E205" i="134"/>
  <c r="E47" i="134"/>
  <c r="E126" i="134"/>
  <c r="V173" i="134"/>
  <c r="V94" i="134"/>
  <c r="V15" i="134"/>
  <c r="S16" i="134"/>
  <c r="S95" i="134"/>
  <c r="S174" i="134"/>
  <c r="O18" i="134"/>
  <c r="O176" i="134"/>
  <c r="O97" i="134"/>
  <c r="J175" i="134"/>
  <c r="J17" i="134"/>
  <c r="J96" i="134"/>
  <c r="M25" i="134"/>
  <c r="M183" i="134"/>
  <c r="M104" i="134"/>
  <c r="I9" i="134"/>
  <c r="I167" i="134"/>
  <c r="I88" i="134"/>
  <c r="D36" i="134"/>
  <c r="D194" i="134"/>
  <c r="D115" i="134"/>
  <c r="L9" i="134"/>
  <c r="L88" i="134"/>
  <c r="L167" i="134"/>
  <c r="E9" i="134"/>
  <c r="E167" i="134"/>
  <c r="E88" i="134"/>
  <c r="V101" i="134"/>
  <c r="V180" i="134"/>
  <c r="V22" i="134"/>
  <c r="S36" i="134"/>
  <c r="S194" i="134"/>
  <c r="S115" i="134"/>
  <c r="P27" i="134"/>
  <c r="P106" i="134"/>
  <c r="P185" i="134"/>
  <c r="L184" i="134"/>
  <c r="L105" i="134"/>
  <c r="L26" i="134"/>
  <c r="H11" i="134"/>
  <c r="H90" i="134"/>
  <c r="H169" i="134"/>
  <c r="D109" i="134"/>
  <c r="D188" i="134"/>
  <c r="D30" i="134"/>
  <c r="Q100" i="134"/>
  <c r="Q21" i="134"/>
  <c r="Q179" i="134"/>
  <c r="C29" i="134"/>
  <c r="C108" i="134"/>
  <c r="C187" i="134"/>
  <c r="B50" i="138"/>
  <c r="B51" i="138"/>
  <c r="B52" i="138"/>
  <c r="B53" i="138"/>
  <c r="B54" i="138"/>
  <c r="B55" i="138"/>
  <c r="B56" i="138"/>
  <c r="B49" i="138"/>
  <c r="C22" i="137"/>
  <c r="D2" i="136"/>
  <c r="E2" i="136"/>
  <c r="F2" i="136"/>
  <c r="G2" i="136"/>
  <c r="H2" i="136"/>
  <c r="I2" i="136"/>
  <c r="J2" i="136"/>
  <c r="K2" i="136"/>
  <c r="L2" i="136"/>
  <c r="M2" i="136"/>
  <c r="N2" i="136"/>
  <c r="O2" i="136"/>
  <c r="P2" i="136"/>
  <c r="Q2" i="136"/>
  <c r="R2" i="136"/>
  <c r="S2" i="136"/>
  <c r="T2" i="136"/>
  <c r="U2" i="136"/>
  <c r="V2" i="136"/>
  <c r="D3" i="136"/>
  <c r="E3" i="136"/>
  <c r="F3" i="136"/>
  <c r="G3" i="136"/>
  <c r="H3" i="136"/>
  <c r="I3" i="136"/>
  <c r="J3" i="136"/>
  <c r="K3" i="136"/>
  <c r="L3" i="136"/>
  <c r="M3" i="136"/>
  <c r="N3" i="136"/>
  <c r="O3" i="136"/>
  <c r="P3" i="136"/>
  <c r="Q3" i="136"/>
  <c r="R3" i="136"/>
  <c r="S3" i="136"/>
  <c r="T3" i="136"/>
  <c r="U3" i="136"/>
  <c r="V3" i="136"/>
  <c r="D4" i="136"/>
  <c r="E4" i="136"/>
  <c r="F4" i="136"/>
  <c r="G4" i="136"/>
  <c r="H4" i="136"/>
  <c r="I4" i="136"/>
  <c r="J4" i="136"/>
  <c r="K4" i="136"/>
  <c r="L4" i="136"/>
  <c r="M4" i="136"/>
  <c r="N4" i="136"/>
  <c r="O4" i="136"/>
  <c r="P4" i="136"/>
  <c r="Q4" i="136"/>
  <c r="R4" i="136"/>
  <c r="S4" i="136"/>
  <c r="T4" i="136"/>
  <c r="U4" i="136"/>
  <c r="V4" i="136"/>
  <c r="D5" i="136"/>
  <c r="E5" i="136"/>
  <c r="F5" i="136"/>
  <c r="G5" i="136"/>
  <c r="H5" i="136"/>
  <c r="I5" i="136"/>
  <c r="J5" i="136"/>
  <c r="K5" i="136"/>
  <c r="L5" i="136"/>
  <c r="M5" i="136"/>
  <c r="N5" i="136"/>
  <c r="O5" i="136"/>
  <c r="P5" i="136"/>
  <c r="Q5" i="136"/>
  <c r="R5" i="136"/>
  <c r="S5" i="136"/>
  <c r="T5" i="136"/>
  <c r="U5" i="136"/>
  <c r="V5" i="136"/>
  <c r="D6" i="136"/>
  <c r="E6" i="136"/>
  <c r="F6" i="136"/>
  <c r="G6" i="136"/>
  <c r="H6" i="136"/>
  <c r="I6" i="136"/>
  <c r="J6" i="136"/>
  <c r="K6" i="136"/>
  <c r="L6" i="136"/>
  <c r="M6" i="136"/>
  <c r="N6" i="136"/>
  <c r="O6" i="136"/>
  <c r="P6" i="136"/>
  <c r="Q6" i="136"/>
  <c r="R6" i="136"/>
  <c r="S6" i="136"/>
  <c r="T6" i="136"/>
  <c r="U6" i="136"/>
  <c r="V6" i="136"/>
  <c r="D7" i="136"/>
  <c r="E7" i="136"/>
  <c r="F7" i="136"/>
  <c r="G7" i="136"/>
  <c r="H7" i="136"/>
  <c r="I7" i="136"/>
  <c r="J7" i="136"/>
  <c r="K7" i="136"/>
  <c r="L7" i="136"/>
  <c r="M7" i="136"/>
  <c r="N7" i="136"/>
  <c r="O7" i="136"/>
  <c r="P7" i="136"/>
  <c r="Q7" i="136"/>
  <c r="R7" i="136"/>
  <c r="S7" i="136"/>
  <c r="T7" i="136"/>
  <c r="U7" i="136"/>
  <c r="V7" i="136"/>
  <c r="D8" i="136"/>
  <c r="E8" i="136"/>
  <c r="F8" i="136"/>
  <c r="G8" i="136"/>
  <c r="H8" i="136"/>
  <c r="I8" i="136"/>
  <c r="J8" i="136"/>
  <c r="K8" i="136"/>
  <c r="L8" i="136"/>
  <c r="M8" i="136"/>
  <c r="N8" i="136"/>
  <c r="O8" i="136"/>
  <c r="P8" i="136"/>
  <c r="Q8" i="136"/>
  <c r="R8" i="136"/>
  <c r="S8" i="136"/>
  <c r="T8" i="136"/>
  <c r="U8" i="136"/>
  <c r="V8" i="136"/>
  <c r="D9" i="136"/>
  <c r="E9" i="136"/>
  <c r="F9" i="136"/>
  <c r="G9" i="136"/>
  <c r="H9" i="136"/>
  <c r="I9" i="136"/>
  <c r="J9" i="136"/>
  <c r="K9" i="136"/>
  <c r="L9" i="136"/>
  <c r="M9" i="136"/>
  <c r="N9" i="136"/>
  <c r="O9" i="136"/>
  <c r="P9" i="136"/>
  <c r="Q9" i="136"/>
  <c r="R9" i="136"/>
  <c r="S9" i="136"/>
  <c r="T9" i="136"/>
  <c r="U9" i="136"/>
  <c r="V9" i="136"/>
  <c r="D10" i="136"/>
  <c r="E10" i="136"/>
  <c r="F10" i="136"/>
  <c r="G10" i="136"/>
  <c r="H10" i="136"/>
  <c r="I10" i="136"/>
  <c r="J10" i="136"/>
  <c r="K10" i="136"/>
  <c r="L10" i="136"/>
  <c r="M10" i="136"/>
  <c r="N10" i="136"/>
  <c r="O10" i="136"/>
  <c r="P10" i="136"/>
  <c r="Q10" i="136"/>
  <c r="R10" i="136"/>
  <c r="S10" i="136"/>
  <c r="T10" i="136"/>
  <c r="U10" i="136"/>
  <c r="V10" i="136"/>
  <c r="D11" i="136"/>
  <c r="E11" i="136"/>
  <c r="F11" i="136"/>
  <c r="G11" i="136"/>
  <c r="H11" i="136"/>
  <c r="I11" i="136"/>
  <c r="J11" i="136"/>
  <c r="K11" i="136"/>
  <c r="L11" i="136"/>
  <c r="M11" i="136"/>
  <c r="N11" i="136"/>
  <c r="O11" i="136"/>
  <c r="P11" i="136"/>
  <c r="Q11" i="136"/>
  <c r="R11" i="136"/>
  <c r="S11" i="136"/>
  <c r="T11" i="136"/>
  <c r="U11" i="136"/>
  <c r="V11" i="136"/>
  <c r="D12" i="136"/>
  <c r="E12" i="136"/>
  <c r="F12" i="136"/>
  <c r="G12" i="136"/>
  <c r="H12" i="136"/>
  <c r="I12" i="136"/>
  <c r="J12" i="136"/>
  <c r="K12" i="136"/>
  <c r="L12" i="136"/>
  <c r="M12" i="136"/>
  <c r="N12" i="136"/>
  <c r="O12" i="136"/>
  <c r="P12" i="136"/>
  <c r="Q12" i="136"/>
  <c r="R12" i="136"/>
  <c r="S12" i="136"/>
  <c r="T12" i="136"/>
  <c r="U12" i="136"/>
  <c r="V12" i="136"/>
  <c r="D13" i="136"/>
  <c r="E13" i="136"/>
  <c r="F13" i="136"/>
  <c r="G13" i="136"/>
  <c r="H13" i="136"/>
  <c r="I13" i="136"/>
  <c r="J13" i="136"/>
  <c r="K13" i="136"/>
  <c r="L13" i="136"/>
  <c r="M13" i="136"/>
  <c r="N13" i="136"/>
  <c r="O13" i="136"/>
  <c r="P13" i="136"/>
  <c r="Q13" i="136"/>
  <c r="R13" i="136"/>
  <c r="S13" i="136"/>
  <c r="T13" i="136"/>
  <c r="U13" i="136"/>
  <c r="V13" i="136"/>
  <c r="D14" i="136"/>
  <c r="E14" i="136"/>
  <c r="F14" i="136"/>
  <c r="G14" i="136"/>
  <c r="H14" i="136"/>
  <c r="I14" i="136"/>
  <c r="J14" i="136"/>
  <c r="K14" i="136"/>
  <c r="L14" i="136"/>
  <c r="M14" i="136"/>
  <c r="N14" i="136"/>
  <c r="O14" i="136"/>
  <c r="P14" i="136"/>
  <c r="Q14" i="136"/>
  <c r="R14" i="136"/>
  <c r="S14" i="136"/>
  <c r="T14" i="136"/>
  <c r="U14" i="136"/>
  <c r="V14" i="136"/>
  <c r="D15" i="136"/>
  <c r="E15" i="136"/>
  <c r="F15" i="136"/>
  <c r="G15" i="136"/>
  <c r="H15" i="136"/>
  <c r="I15" i="136"/>
  <c r="J15" i="136"/>
  <c r="K15" i="136"/>
  <c r="L15" i="136"/>
  <c r="M15" i="136"/>
  <c r="N15" i="136"/>
  <c r="O15" i="136"/>
  <c r="P15" i="136"/>
  <c r="Q15" i="136"/>
  <c r="R15" i="136"/>
  <c r="S15" i="136"/>
  <c r="T15" i="136"/>
  <c r="U15" i="136"/>
  <c r="V15" i="136"/>
  <c r="D16" i="136"/>
  <c r="E16" i="136"/>
  <c r="F16" i="136"/>
  <c r="G16" i="136"/>
  <c r="H16" i="136"/>
  <c r="I16" i="136"/>
  <c r="J16" i="136"/>
  <c r="K16" i="136"/>
  <c r="L16" i="136"/>
  <c r="M16" i="136"/>
  <c r="N16" i="136"/>
  <c r="O16" i="136"/>
  <c r="P16" i="136"/>
  <c r="Q16" i="136"/>
  <c r="R16" i="136"/>
  <c r="S16" i="136"/>
  <c r="T16" i="136"/>
  <c r="U16" i="136"/>
  <c r="V16" i="136"/>
  <c r="D17" i="136"/>
  <c r="E17" i="136"/>
  <c r="F17" i="136"/>
  <c r="G17" i="136"/>
  <c r="H17" i="136"/>
  <c r="I17" i="136"/>
  <c r="J17" i="136"/>
  <c r="K17" i="136"/>
  <c r="L17" i="136"/>
  <c r="M17" i="136"/>
  <c r="N17" i="136"/>
  <c r="O17" i="136"/>
  <c r="P17" i="136"/>
  <c r="Q17" i="136"/>
  <c r="R17" i="136"/>
  <c r="S17" i="136"/>
  <c r="T17" i="136"/>
  <c r="U17" i="136"/>
  <c r="V17" i="136"/>
  <c r="D18" i="136"/>
  <c r="E18" i="136"/>
  <c r="F18" i="136"/>
  <c r="G18" i="136"/>
  <c r="H18" i="136"/>
  <c r="I18" i="136"/>
  <c r="J18" i="136"/>
  <c r="K18" i="136"/>
  <c r="L18" i="136"/>
  <c r="M18" i="136"/>
  <c r="N18" i="136"/>
  <c r="O18" i="136"/>
  <c r="P18" i="136"/>
  <c r="Q18" i="136"/>
  <c r="R18" i="136"/>
  <c r="S18" i="136"/>
  <c r="T18" i="136"/>
  <c r="U18" i="136"/>
  <c r="V18" i="136"/>
  <c r="D19" i="136"/>
  <c r="E19" i="136"/>
  <c r="F19" i="136"/>
  <c r="G19" i="136"/>
  <c r="H19" i="136"/>
  <c r="I19" i="136"/>
  <c r="J19" i="136"/>
  <c r="K19" i="136"/>
  <c r="L19" i="136"/>
  <c r="M19" i="136"/>
  <c r="N19" i="136"/>
  <c r="O19" i="136"/>
  <c r="P19" i="136"/>
  <c r="Q19" i="136"/>
  <c r="R19" i="136"/>
  <c r="S19" i="136"/>
  <c r="T19" i="136"/>
  <c r="U19" i="136"/>
  <c r="V19" i="136"/>
  <c r="D20" i="136"/>
  <c r="E20" i="136"/>
  <c r="F20" i="136"/>
  <c r="G20" i="136"/>
  <c r="H20" i="136"/>
  <c r="I20" i="136"/>
  <c r="J20" i="136"/>
  <c r="K20" i="136"/>
  <c r="L20" i="136"/>
  <c r="M20" i="136"/>
  <c r="N20" i="136"/>
  <c r="O20" i="136"/>
  <c r="P20" i="136"/>
  <c r="Q20" i="136"/>
  <c r="R20" i="136"/>
  <c r="S20" i="136"/>
  <c r="T20" i="136"/>
  <c r="U20" i="136"/>
  <c r="V20" i="136"/>
  <c r="D21" i="136"/>
  <c r="E21" i="136"/>
  <c r="F21" i="136"/>
  <c r="G21" i="136"/>
  <c r="H21" i="136"/>
  <c r="I21" i="136"/>
  <c r="J21" i="136"/>
  <c r="K21" i="136"/>
  <c r="L21" i="136"/>
  <c r="M21" i="136"/>
  <c r="N21" i="136"/>
  <c r="O21" i="136"/>
  <c r="P21" i="136"/>
  <c r="Q21" i="136"/>
  <c r="R21" i="136"/>
  <c r="S21" i="136"/>
  <c r="T21" i="136"/>
  <c r="U21" i="136"/>
  <c r="V21" i="136"/>
  <c r="D22" i="136"/>
  <c r="E22" i="136"/>
  <c r="F22" i="136"/>
  <c r="G22" i="136"/>
  <c r="H22" i="136"/>
  <c r="I22" i="136"/>
  <c r="J22" i="136"/>
  <c r="K22" i="136"/>
  <c r="L22" i="136"/>
  <c r="M22" i="136"/>
  <c r="N22" i="136"/>
  <c r="O22" i="136"/>
  <c r="P22" i="136"/>
  <c r="Q22" i="136"/>
  <c r="R22" i="136"/>
  <c r="S22" i="136"/>
  <c r="T22" i="136"/>
  <c r="U22" i="136"/>
  <c r="V22" i="136"/>
  <c r="D23" i="136"/>
  <c r="E23" i="136"/>
  <c r="F23" i="136"/>
  <c r="G23" i="136"/>
  <c r="H23" i="136"/>
  <c r="I23" i="136"/>
  <c r="J23" i="136"/>
  <c r="K23" i="136"/>
  <c r="L23" i="136"/>
  <c r="M23" i="136"/>
  <c r="N23" i="136"/>
  <c r="O23" i="136"/>
  <c r="P23" i="136"/>
  <c r="Q23" i="136"/>
  <c r="R23" i="136"/>
  <c r="S23" i="136"/>
  <c r="T23" i="136"/>
  <c r="U23" i="136"/>
  <c r="V23" i="136"/>
  <c r="D24" i="136"/>
  <c r="E24" i="136"/>
  <c r="F24" i="136"/>
  <c r="G24" i="136"/>
  <c r="H24" i="136"/>
  <c r="I24" i="136"/>
  <c r="J24" i="136"/>
  <c r="K24" i="136"/>
  <c r="L24" i="136"/>
  <c r="M24" i="136"/>
  <c r="N24" i="136"/>
  <c r="O24" i="136"/>
  <c r="P24" i="136"/>
  <c r="Q24" i="136"/>
  <c r="R24" i="136"/>
  <c r="S24" i="136"/>
  <c r="T24" i="136"/>
  <c r="U24" i="136"/>
  <c r="V24" i="136"/>
  <c r="D25" i="136"/>
  <c r="E25" i="136"/>
  <c r="F25" i="136"/>
  <c r="G25" i="136"/>
  <c r="H25" i="136"/>
  <c r="I25" i="136"/>
  <c r="J25" i="136"/>
  <c r="K25" i="136"/>
  <c r="L25" i="136"/>
  <c r="M25" i="136"/>
  <c r="N25" i="136"/>
  <c r="O25" i="136"/>
  <c r="P25" i="136"/>
  <c r="Q25" i="136"/>
  <c r="R25" i="136"/>
  <c r="S25" i="136"/>
  <c r="T25" i="136"/>
  <c r="U25" i="136"/>
  <c r="V25" i="136"/>
  <c r="D26" i="136"/>
  <c r="E26" i="136"/>
  <c r="F26" i="136"/>
  <c r="G26" i="136"/>
  <c r="H26" i="136"/>
  <c r="I26" i="136"/>
  <c r="J26" i="136"/>
  <c r="K26" i="136"/>
  <c r="L26" i="136"/>
  <c r="M26" i="136"/>
  <c r="N26" i="136"/>
  <c r="O26" i="136"/>
  <c r="P26" i="136"/>
  <c r="Q26" i="136"/>
  <c r="R26" i="136"/>
  <c r="S26" i="136"/>
  <c r="T26" i="136"/>
  <c r="U26" i="136"/>
  <c r="V26" i="136"/>
  <c r="D27" i="136"/>
  <c r="E27" i="136"/>
  <c r="F27" i="136"/>
  <c r="G27" i="136"/>
  <c r="H27" i="136"/>
  <c r="I27" i="136"/>
  <c r="J27" i="136"/>
  <c r="K27" i="136"/>
  <c r="L27" i="136"/>
  <c r="M27" i="136"/>
  <c r="N27" i="136"/>
  <c r="O27" i="136"/>
  <c r="P27" i="136"/>
  <c r="Q27" i="136"/>
  <c r="R27" i="136"/>
  <c r="S27" i="136"/>
  <c r="T27" i="136"/>
  <c r="U27" i="136"/>
  <c r="V27" i="136"/>
  <c r="D28" i="136"/>
  <c r="E28" i="136"/>
  <c r="F28" i="136"/>
  <c r="G28" i="136"/>
  <c r="H28" i="136"/>
  <c r="I28" i="136"/>
  <c r="J28" i="136"/>
  <c r="K28" i="136"/>
  <c r="L28" i="136"/>
  <c r="M28" i="136"/>
  <c r="N28" i="136"/>
  <c r="O28" i="136"/>
  <c r="P28" i="136"/>
  <c r="Q28" i="136"/>
  <c r="R28" i="136"/>
  <c r="S28" i="136"/>
  <c r="T28" i="136"/>
  <c r="U28" i="136"/>
  <c r="V28" i="136"/>
  <c r="D29" i="136"/>
  <c r="E29" i="136"/>
  <c r="F29" i="136"/>
  <c r="G29" i="136"/>
  <c r="H29" i="136"/>
  <c r="I29" i="136"/>
  <c r="J29" i="136"/>
  <c r="K29" i="136"/>
  <c r="L29" i="136"/>
  <c r="M29" i="136"/>
  <c r="N29" i="136"/>
  <c r="O29" i="136"/>
  <c r="P29" i="136"/>
  <c r="Q29" i="136"/>
  <c r="R29" i="136"/>
  <c r="S29" i="136"/>
  <c r="T29" i="136"/>
  <c r="U29" i="136"/>
  <c r="V29" i="136"/>
  <c r="D30" i="136"/>
  <c r="E30" i="136"/>
  <c r="F30" i="136"/>
  <c r="G30" i="136"/>
  <c r="H30" i="136"/>
  <c r="I30" i="136"/>
  <c r="J30" i="136"/>
  <c r="K30" i="136"/>
  <c r="L30" i="136"/>
  <c r="M30" i="136"/>
  <c r="N30" i="136"/>
  <c r="O30" i="136"/>
  <c r="P30" i="136"/>
  <c r="Q30" i="136"/>
  <c r="R30" i="136"/>
  <c r="S30" i="136"/>
  <c r="T30" i="136"/>
  <c r="U30" i="136"/>
  <c r="V30" i="136"/>
  <c r="D31" i="136"/>
  <c r="E31" i="136"/>
  <c r="F31" i="136"/>
  <c r="G31" i="136"/>
  <c r="H31" i="136"/>
  <c r="I31" i="136"/>
  <c r="J31" i="136"/>
  <c r="K31" i="136"/>
  <c r="L31" i="136"/>
  <c r="M31" i="136"/>
  <c r="N31" i="136"/>
  <c r="O31" i="136"/>
  <c r="P31" i="136"/>
  <c r="Q31" i="136"/>
  <c r="R31" i="136"/>
  <c r="S31" i="136"/>
  <c r="T31" i="136"/>
  <c r="U31" i="136"/>
  <c r="V31" i="136"/>
  <c r="D32" i="136"/>
  <c r="E32" i="136"/>
  <c r="F32" i="136"/>
  <c r="G32" i="136"/>
  <c r="H32" i="136"/>
  <c r="I32" i="136"/>
  <c r="J32" i="136"/>
  <c r="K32" i="136"/>
  <c r="L32" i="136"/>
  <c r="M32" i="136"/>
  <c r="N32" i="136"/>
  <c r="O32" i="136"/>
  <c r="P32" i="136"/>
  <c r="Q32" i="136"/>
  <c r="R32" i="136"/>
  <c r="S32" i="136"/>
  <c r="T32" i="136"/>
  <c r="U32" i="136"/>
  <c r="V32" i="136"/>
  <c r="D33" i="136"/>
  <c r="E33" i="136"/>
  <c r="F33" i="136"/>
  <c r="G33" i="136"/>
  <c r="H33" i="136"/>
  <c r="I33" i="136"/>
  <c r="J33" i="136"/>
  <c r="K33" i="136"/>
  <c r="L33" i="136"/>
  <c r="M33" i="136"/>
  <c r="N33" i="136"/>
  <c r="O33" i="136"/>
  <c r="P33" i="136"/>
  <c r="Q33" i="136"/>
  <c r="R33" i="136"/>
  <c r="S33" i="136"/>
  <c r="T33" i="136"/>
  <c r="U33" i="136"/>
  <c r="V33" i="136"/>
  <c r="D34" i="136"/>
  <c r="E34" i="136"/>
  <c r="F34" i="136"/>
  <c r="G34" i="136"/>
  <c r="H34" i="136"/>
  <c r="I34" i="136"/>
  <c r="J34" i="136"/>
  <c r="K34" i="136"/>
  <c r="L34" i="136"/>
  <c r="M34" i="136"/>
  <c r="N34" i="136"/>
  <c r="O34" i="136"/>
  <c r="P34" i="136"/>
  <c r="Q34" i="136"/>
  <c r="R34" i="136"/>
  <c r="S34" i="136"/>
  <c r="T34" i="136"/>
  <c r="U34" i="136"/>
  <c r="V34" i="136"/>
  <c r="D35" i="136"/>
  <c r="E35" i="136"/>
  <c r="F35" i="136"/>
  <c r="G35" i="136"/>
  <c r="H35" i="136"/>
  <c r="I35" i="136"/>
  <c r="J35" i="136"/>
  <c r="K35" i="136"/>
  <c r="L35" i="136"/>
  <c r="M35" i="136"/>
  <c r="N35" i="136"/>
  <c r="O35" i="136"/>
  <c r="P35" i="136"/>
  <c r="Q35" i="136"/>
  <c r="R35" i="136"/>
  <c r="S35" i="136"/>
  <c r="T35" i="136"/>
  <c r="U35" i="136"/>
  <c r="V35" i="136"/>
  <c r="D36" i="136"/>
  <c r="E36" i="136"/>
  <c r="F36" i="136"/>
  <c r="G36" i="136"/>
  <c r="H36" i="136"/>
  <c r="I36" i="136"/>
  <c r="J36" i="136"/>
  <c r="K36" i="136"/>
  <c r="L36" i="136"/>
  <c r="M36" i="136"/>
  <c r="N36" i="136"/>
  <c r="O36" i="136"/>
  <c r="P36" i="136"/>
  <c r="Q36" i="136"/>
  <c r="R36" i="136"/>
  <c r="S36" i="136"/>
  <c r="T36" i="136"/>
  <c r="U36" i="136"/>
  <c r="V36" i="136"/>
  <c r="D37" i="136"/>
  <c r="E37" i="136"/>
  <c r="F37" i="136"/>
  <c r="G37" i="136"/>
  <c r="H37" i="136"/>
  <c r="I37" i="136"/>
  <c r="J37" i="136"/>
  <c r="K37" i="136"/>
  <c r="L37" i="136"/>
  <c r="M37" i="136"/>
  <c r="N37" i="136"/>
  <c r="O37" i="136"/>
  <c r="P37" i="136"/>
  <c r="Q37" i="136"/>
  <c r="R37" i="136"/>
  <c r="S37" i="136"/>
  <c r="T37" i="136"/>
  <c r="U37" i="136"/>
  <c r="V37" i="136"/>
  <c r="D38" i="136"/>
  <c r="E38" i="136"/>
  <c r="F38" i="136"/>
  <c r="G38" i="136"/>
  <c r="H38" i="136"/>
  <c r="I38" i="136"/>
  <c r="J38" i="136"/>
  <c r="K38" i="136"/>
  <c r="L38" i="136"/>
  <c r="M38" i="136"/>
  <c r="N38" i="136"/>
  <c r="O38" i="136"/>
  <c r="P38" i="136"/>
  <c r="Q38" i="136"/>
  <c r="R38" i="136"/>
  <c r="S38" i="136"/>
  <c r="T38" i="136"/>
  <c r="U38" i="136"/>
  <c r="V38" i="136"/>
  <c r="D39" i="136"/>
  <c r="E39" i="136"/>
  <c r="F39" i="136"/>
  <c r="G39" i="136"/>
  <c r="H39" i="136"/>
  <c r="I39" i="136"/>
  <c r="J39" i="136"/>
  <c r="K39" i="136"/>
  <c r="L39" i="136"/>
  <c r="M39" i="136"/>
  <c r="N39" i="136"/>
  <c r="O39" i="136"/>
  <c r="P39" i="136"/>
  <c r="Q39" i="136"/>
  <c r="R39" i="136"/>
  <c r="S39" i="136"/>
  <c r="T39" i="136"/>
  <c r="U39" i="136"/>
  <c r="V39" i="136"/>
  <c r="D40" i="136"/>
  <c r="E40" i="136"/>
  <c r="F40" i="136"/>
  <c r="G40" i="136"/>
  <c r="H40" i="136"/>
  <c r="I40" i="136"/>
  <c r="J40" i="136"/>
  <c r="K40" i="136"/>
  <c r="L40" i="136"/>
  <c r="M40" i="136"/>
  <c r="N40" i="136"/>
  <c r="O40" i="136"/>
  <c r="P40" i="136"/>
  <c r="Q40" i="136"/>
  <c r="R40" i="136"/>
  <c r="S40" i="136"/>
  <c r="T40" i="136"/>
  <c r="U40" i="136"/>
  <c r="V40" i="136"/>
  <c r="D41" i="136"/>
  <c r="E41" i="136"/>
  <c r="F41" i="136"/>
  <c r="G41" i="136"/>
  <c r="H41" i="136"/>
  <c r="I41" i="136"/>
  <c r="J41" i="136"/>
  <c r="K41" i="136"/>
  <c r="L41" i="136"/>
  <c r="M41" i="136"/>
  <c r="N41" i="136"/>
  <c r="O41" i="136"/>
  <c r="P41" i="136"/>
  <c r="Q41" i="136"/>
  <c r="R41" i="136"/>
  <c r="S41" i="136"/>
  <c r="T41" i="136"/>
  <c r="U41" i="136"/>
  <c r="V41" i="136"/>
  <c r="D42" i="136"/>
  <c r="E42" i="136"/>
  <c r="F42" i="136"/>
  <c r="G42" i="136"/>
  <c r="H42" i="136"/>
  <c r="I42" i="136"/>
  <c r="J42" i="136"/>
  <c r="K42" i="136"/>
  <c r="L42" i="136"/>
  <c r="M42" i="136"/>
  <c r="N42" i="136"/>
  <c r="O42" i="136"/>
  <c r="P42" i="136"/>
  <c r="Q42" i="136"/>
  <c r="R42" i="136"/>
  <c r="S42" i="136"/>
  <c r="T42" i="136"/>
  <c r="U42" i="136"/>
  <c r="V42" i="136"/>
  <c r="D43" i="136"/>
  <c r="E43" i="136"/>
  <c r="F43" i="136"/>
  <c r="G43" i="136"/>
  <c r="H43" i="136"/>
  <c r="I43" i="136"/>
  <c r="J43" i="136"/>
  <c r="K43" i="136"/>
  <c r="L43" i="136"/>
  <c r="M43" i="136"/>
  <c r="N43" i="136"/>
  <c r="O43" i="136"/>
  <c r="P43" i="136"/>
  <c r="Q43" i="136"/>
  <c r="R43" i="136"/>
  <c r="S43" i="136"/>
  <c r="T43" i="136"/>
  <c r="U43" i="136"/>
  <c r="V43" i="136"/>
  <c r="D44" i="136"/>
  <c r="E44" i="136"/>
  <c r="F44" i="136"/>
  <c r="G44" i="136"/>
  <c r="H44" i="136"/>
  <c r="I44" i="136"/>
  <c r="J44" i="136"/>
  <c r="K44" i="136"/>
  <c r="L44" i="136"/>
  <c r="M44" i="136"/>
  <c r="N44" i="136"/>
  <c r="O44" i="136"/>
  <c r="P44" i="136"/>
  <c r="Q44" i="136"/>
  <c r="R44" i="136"/>
  <c r="S44" i="136"/>
  <c r="T44" i="136"/>
  <c r="U44" i="136"/>
  <c r="V44" i="136"/>
  <c r="D45" i="136"/>
  <c r="E45" i="136"/>
  <c r="F45" i="136"/>
  <c r="G45" i="136"/>
  <c r="H45" i="136"/>
  <c r="I45" i="136"/>
  <c r="J45" i="136"/>
  <c r="K45" i="136"/>
  <c r="L45" i="136"/>
  <c r="M45" i="136"/>
  <c r="N45" i="136"/>
  <c r="O45" i="136"/>
  <c r="P45" i="136"/>
  <c r="Q45" i="136"/>
  <c r="R45" i="136"/>
  <c r="S45" i="136"/>
  <c r="T45" i="136"/>
  <c r="U45" i="136"/>
  <c r="V45" i="136"/>
  <c r="D46" i="136"/>
  <c r="E46" i="136"/>
  <c r="F46" i="136"/>
  <c r="G46" i="136"/>
  <c r="H46" i="136"/>
  <c r="I46" i="136"/>
  <c r="J46" i="136"/>
  <c r="K46" i="136"/>
  <c r="L46" i="136"/>
  <c r="M46" i="136"/>
  <c r="N46" i="136"/>
  <c r="O46" i="136"/>
  <c r="P46" i="136"/>
  <c r="Q46" i="136"/>
  <c r="R46" i="136"/>
  <c r="S46" i="136"/>
  <c r="T46" i="136"/>
  <c r="U46" i="136"/>
  <c r="V46" i="136"/>
  <c r="D47" i="136"/>
  <c r="E47" i="136"/>
  <c r="F47" i="136"/>
  <c r="G47" i="136"/>
  <c r="H47" i="136"/>
  <c r="I47" i="136"/>
  <c r="J47" i="136"/>
  <c r="K47" i="136"/>
  <c r="L47" i="136"/>
  <c r="M47" i="136"/>
  <c r="N47" i="136"/>
  <c r="O47" i="136"/>
  <c r="P47" i="136"/>
  <c r="Q47" i="136"/>
  <c r="R47" i="136"/>
  <c r="S47" i="136"/>
  <c r="T47" i="136"/>
  <c r="U47" i="136"/>
  <c r="V47" i="136"/>
  <c r="D48" i="136"/>
  <c r="E48" i="136"/>
  <c r="F48" i="136"/>
  <c r="G48" i="136"/>
  <c r="H48" i="136"/>
  <c r="I48" i="136"/>
  <c r="J48" i="136"/>
  <c r="K48" i="136"/>
  <c r="L48" i="136"/>
  <c r="M48" i="136"/>
  <c r="N48" i="136"/>
  <c r="O48" i="136"/>
  <c r="P48" i="136"/>
  <c r="Q48" i="136"/>
  <c r="R48" i="136"/>
  <c r="S48" i="136"/>
  <c r="T48" i="136"/>
  <c r="U48" i="136"/>
  <c r="V48" i="136"/>
  <c r="C3" i="136"/>
  <c r="C4" i="136"/>
  <c r="C4" i="137" s="1"/>
  <c r="C5" i="136"/>
  <c r="C6" i="136"/>
  <c r="C7" i="136"/>
  <c r="C8" i="136"/>
  <c r="C9" i="136"/>
  <c r="C10" i="136"/>
  <c r="C11" i="136"/>
  <c r="C12" i="136"/>
  <c r="C13" i="136"/>
  <c r="C14" i="136"/>
  <c r="C15" i="136"/>
  <c r="C16" i="136"/>
  <c r="C17" i="136"/>
  <c r="C18" i="136"/>
  <c r="C19" i="136"/>
  <c r="C20" i="136"/>
  <c r="C21" i="136"/>
  <c r="C22" i="136"/>
  <c r="C23" i="136"/>
  <c r="C24" i="136"/>
  <c r="C25" i="136"/>
  <c r="C26" i="136"/>
  <c r="C27" i="136"/>
  <c r="C28" i="136"/>
  <c r="C29" i="136"/>
  <c r="C30" i="136"/>
  <c r="C31" i="136"/>
  <c r="C32" i="136"/>
  <c r="C33" i="136"/>
  <c r="C34" i="136"/>
  <c r="C35" i="136"/>
  <c r="C36" i="136"/>
  <c r="C37" i="136"/>
  <c r="C38" i="136"/>
  <c r="C39" i="136"/>
  <c r="C40" i="136"/>
  <c r="C41" i="136"/>
  <c r="C42" i="136"/>
  <c r="C43" i="136"/>
  <c r="C44" i="136"/>
  <c r="C45" i="136"/>
  <c r="C46" i="136"/>
  <c r="C47" i="136"/>
  <c r="C48" i="136"/>
  <c r="C2" i="136"/>
  <c r="J5" i="134" l="1"/>
  <c r="J163" i="134"/>
  <c r="J84" i="134"/>
  <c r="J37" i="134"/>
  <c r="J116" i="134"/>
  <c r="J195" i="134"/>
  <c r="I5" i="134"/>
  <c r="I84" i="134"/>
  <c r="I163" i="134"/>
  <c r="R12" i="134"/>
  <c r="R91" i="134"/>
  <c r="R170" i="134"/>
  <c r="N37" i="134"/>
  <c r="N195" i="134"/>
  <c r="N116" i="134"/>
  <c r="H37" i="134"/>
  <c r="H116" i="134"/>
  <c r="H195" i="134"/>
  <c r="H233" i="134" s="1"/>
  <c r="O12" i="134"/>
  <c r="O91" i="134"/>
  <c r="O154" i="134" s="1"/>
  <c r="O170" i="134"/>
  <c r="O42" i="134"/>
  <c r="O121" i="134"/>
  <c r="O200" i="134"/>
  <c r="Q12" i="134"/>
  <c r="Q91" i="134"/>
  <c r="Q170" i="134"/>
  <c r="Q5" i="134"/>
  <c r="Q84" i="134"/>
  <c r="Q163" i="134"/>
  <c r="L42" i="134"/>
  <c r="L121" i="134"/>
  <c r="L200" i="134"/>
  <c r="L37" i="134"/>
  <c r="L195" i="134"/>
  <c r="L116" i="134"/>
  <c r="L5" i="134"/>
  <c r="L75" i="134" s="1"/>
  <c r="L163" i="134"/>
  <c r="L233" i="134" s="1"/>
  <c r="L84" i="134"/>
  <c r="L154" i="134" s="1"/>
  <c r="C37" i="134"/>
  <c r="C195" i="134"/>
  <c r="C116" i="134"/>
  <c r="U121" i="134"/>
  <c r="U42" i="134"/>
  <c r="U200" i="134"/>
  <c r="E84" i="134"/>
  <c r="E5" i="134"/>
  <c r="E163" i="134"/>
  <c r="S200" i="134"/>
  <c r="S42" i="134"/>
  <c r="S121" i="134"/>
  <c r="P37" i="134"/>
  <c r="P195" i="134"/>
  <c r="P116" i="134"/>
  <c r="H12" i="134"/>
  <c r="H91" i="134"/>
  <c r="H170" i="134"/>
  <c r="P84" i="134"/>
  <c r="P5" i="134"/>
  <c r="P75" i="134" s="1"/>
  <c r="P163" i="134"/>
  <c r="P233" i="134" s="1"/>
  <c r="E42" i="134"/>
  <c r="E121" i="134"/>
  <c r="E200" i="134"/>
  <c r="R42" i="134"/>
  <c r="R200" i="134"/>
  <c r="R121" i="134"/>
  <c r="D5" i="134"/>
  <c r="D163" i="134"/>
  <c r="D84" i="134"/>
  <c r="L12" i="134"/>
  <c r="L91" i="134"/>
  <c r="L170" i="134"/>
  <c r="K12" i="134"/>
  <c r="K91" i="134"/>
  <c r="K170" i="134"/>
  <c r="K5" i="134"/>
  <c r="K75" i="134" s="1"/>
  <c r="K163" i="134"/>
  <c r="K233" i="134" s="1"/>
  <c r="K84" i="134"/>
  <c r="K154" i="134" s="1"/>
  <c r="G37" i="134"/>
  <c r="G195" i="134"/>
  <c r="G233" i="134" s="1"/>
  <c r="G116" i="134"/>
  <c r="V12" i="134"/>
  <c r="V91" i="134"/>
  <c r="V170" i="134"/>
  <c r="T42" i="134"/>
  <c r="T200" i="134"/>
  <c r="T121" i="134"/>
  <c r="I37" i="134"/>
  <c r="I195" i="134"/>
  <c r="I116" i="134"/>
  <c r="M5" i="134"/>
  <c r="M163" i="134"/>
  <c r="M84" i="134"/>
  <c r="M154" i="134" s="1"/>
  <c r="S84" i="134"/>
  <c r="S5" i="134"/>
  <c r="S163" i="134"/>
  <c r="E37" i="134"/>
  <c r="E75" i="134" s="1"/>
  <c r="E195" i="134"/>
  <c r="E116" i="134"/>
  <c r="E154" i="134" s="1"/>
  <c r="O37" i="134"/>
  <c r="O195" i="134"/>
  <c r="O116" i="134"/>
  <c r="N5" i="134"/>
  <c r="N163" i="134"/>
  <c r="N84" i="134"/>
  <c r="O5" i="134"/>
  <c r="O163" i="134"/>
  <c r="O84" i="134"/>
  <c r="K42" i="134"/>
  <c r="K200" i="134"/>
  <c r="K121" i="134"/>
  <c r="H42" i="134"/>
  <c r="H200" i="134"/>
  <c r="H121" i="134"/>
  <c r="D200" i="134"/>
  <c r="D121" i="134"/>
  <c r="D154" i="134" s="1"/>
  <c r="D42" i="134"/>
  <c r="D75" i="134" s="1"/>
  <c r="V5" i="134"/>
  <c r="V84" i="134"/>
  <c r="V163" i="134"/>
  <c r="V233" i="134" s="1"/>
  <c r="F37" i="134"/>
  <c r="F116" i="134"/>
  <c r="F195" i="134"/>
  <c r="E170" i="134"/>
  <c r="E12" i="134"/>
  <c r="E91" i="134"/>
  <c r="T84" i="134"/>
  <c r="T163" i="134"/>
  <c r="T5" i="134"/>
  <c r="I42" i="134"/>
  <c r="I121" i="134"/>
  <c r="I200" i="134"/>
  <c r="I233" i="134" s="1"/>
  <c r="Q121" i="134"/>
  <c r="Q154" i="134" s="1"/>
  <c r="Q200" i="134"/>
  <c r="Q42" i="134"/>
  <c r="P12" i="134"/>
  <c r="P170" i="134"/>
  <c r="P91" i="134"/>
  <c r="H84" i="134"/>
  <c r="H154" i="134" s="1"/>
  <c r="H5" i="134"/>
  <c r="H75" i="134" s="1"/>
  <c r="H163" i="134"/>
  <c r="P42" i="134"/>
  <c r="P200" i="134"/>
  <c r="P121" i="134"/>
  <c r="R5" i="134"/>
  <c r="R163" i="134"/>
  <c r="R84" i="134"/>
  <c r="D12" i="134"/>
  <c r="D91" i="134"/>
  <c r="D170" i="134"/>
  <c r="N12" i="134"/>
  <c r="N91" i="134"/>
  <c r="N170" i="134"/>
  <c r="N42" i="134"/>
  <c r="N121" i="134"/>
  <c r="N200" i="134"/>
  <c r="V200" i="134"/>
  <c r="V42" i="134"/>
  <c r="V121" i="134"/>
  <c r="K37" i="134"/>
  <c r="K116" i="134"/>
  <c r="K195" i="134"/>
  <c r="G5" i="134"/>
  <c r="G84" i="134"/>
  <c r="G163" i="134"/>
  <c r="D37" i="134"/>
  <c r="D116" i="134"/>
  <c r="D195" i="134"/>
  <c r="C5" i="134"/>
  <c r="C163" i="134"/>
  <c r="C84" i="134"/>
  <c r="U37" i="134"/>
  <c r="U195" i="134"/>
  <c r="U116" i="134"/>
  <c r="J200" i="134"/>
  <c r="J121" i="134"/>
  <c r="J42" i="134"/>
  <c r="J75" i="134" s="1"/>
  <c r="U5" i="134"/>
  <c r="U75" i="134" s="1"/>
  <c r="U84" i="134"/>
  <c r="U154" i="134" s="1"/>
  <c r="U163" i="134"/>
  <c r="U233" i="134" s="1"/>
  <c r="T12" i="134"/>
  <c r="T91" i="134"/>
  <c r="T170" i="134"/>
  <c r="T116" i="134"/>
  <c r="T195" i="134"/>
  <c r="T37" i="134"/>
  <c r="I170" i="134"/>
  <c r="I12" i="134"/>
  <c r="I91" i="134"/>
  <c r="V37" i="134"/>
  <c r="V195" i="134"/>
  <c r="V116" i="134"/>
  <c r="S91" i="134"/>
  <c r="S170" i="134"/>
  <c r="S12" i="134"/>
  <c r="S116" i="134"/>
  <c r="S195" i="134"/>
  <c r="S37" i="134"/>
  <c r="R37" i="134"/>
  <c r="R75" i="134" s="1"/>
  <c r="R116" i="134"/>
  <c r="R195" i="134"/>
  <c r="Q116" i="134"/>
  <c r="Q37" i="134"/>
  <c r="Q195" i="134"/>
  <c r="M12" i="134"/>
  <c r="M91" i="134"/>
  <c r="M170" i="134"/>
  <c r="M42" i="134"/>
  <c r="M200" i="134"/>
  <c r="M121" i="134"/>
  <c r="M37" i="134"/>
  <c r="M195" i="134"/>
  <c r="M116" i="134"/>
  <c r="G91" i="134"/>
  <c r="G12" i="134"/>
  <c r="G170" i="134"/>
  <c r="G121" i="134"/>
  <c r="G42" i="134"/>
  <c r="G200" i="134"/>
  <c r="F91" i="134"/>
  <c r="F154" i="134" s="1"/>
  <c r="F12" i="134"/>
  <c r="F170" i="134"/>
  <c r="F5" i="134"/>
  <c r="F163" i="134"/>
  <c r="F233" i="134" s="1"/>
  <c r="F84" i="134"/>
  <c r="C42" i="134"/>
  <c r="C121" i="134"/>
  <c r="C200" i="134"/>
  <c r="U91" i="134"/>
  <c r="U170" i="134"/>
  <c r="U12" i="134"/>
  <c r="J91" i="134"/>
  <c r="J170" i="134"/>
  <c r="J12" i="134"/>
  <c r="F42" i="134"/>
  <c r="F75" i="134" s="1"/>
  <c r="F121" i="134"/>
  <c r="F200" i="134"/>
  <c r="C12" i="134"/>
  <c r="C170" i="134"/>
  <c r="C91" i="134"/>
  <c r="C154" i="134" s="1"/>
  <c r="R8" i="137"/>
  <c r="P9" i="137"/>
  <c r="N9" i="137"/>
  <c r="D8" i="137"/>
  <c r="V7" i="137"/>
  <c r="C3" i="137"/>
  <c r="O9" i="137"/>
  <c r="I4" i="137"/>
  <c r="F4" i="137"/>
  <c r="F16" i="137" s="1"/>
  <c r="C9" i="137"/>
  <c r="Q21" i="137" s="1"/>
  <c r="E8" i="137"/>
  <c r="S7" i="137"/>
  <c r="R7" i="137"/>
  <c r="Q7" i="137"/>
  <c r="P4" i="137"/>
  <c r="O4" i="137"/>
  <c r="O16" i="137" s="1"/>
  <c r="N7" i="137"/>
  <c r="M9" i="137"/>
  <c r="L9" i="137"/>
  <c r="K7" i="137"/>
  <c r="J7" i="137"/>
  <c r="I3" i="137"/>
  <c r="H6" i="137"/>
  <c r="U7" i="137"/>
  <c r="L3" i="137"/>
  <c r="G3" i="137"/>
  <c r="T7" i="137"/>
  <c r="Q9" i="137"/>
  <c r="M6" i="137"/>
  <c r="K8" i="137"/>
  <c r="J8" i="137"/>
  <c r="H4" i="137"/>
  <c r="H16" i="137" s="1"/>
  <c r="G4" i="137"/>
  <c r="G16" i="137" s="1"/>
  <c r="E5" i="137"/>
  <c r="C5" i="137"/>
  <c r="I17" i="137" s="1"/>
  <c r="F7" i="137"/>
  <c r="E2" i="137"/>
  <c r="V5" i="137"/>
  <c r="U9" i="137"/>
  <c r="U21" i="137" s="1"/>
  <c r="T6" i="137"/>
  <c r="S4" i="137"/>
  <c r="E4" i="137"/>
  <c r="L6" i="137"/>
  <c r="R4" i="137"/>
  <c r="K3" i="137"/>
  <c r="I7" i="137"/>
  <c r="K6" i="137"/>
  <c r="Q4" i="137"/>
  <c r="J3" i="137"/>
  <c r="H7" i="137"/>
  <c r="K9" i="137"/>
  <c r="K21" i="137" s="1"/>
  <c r="J6" i="137"/>
  <c r="V2" i="137"/>
  <c r="V14" i="137" s="1"/>
  <c r="D9" i="137"/>
  <c r="D21" i="137" s="1"/>
  <c r="G7" i="137"/>
  <c r="J9" i="137"/>
  <c r="J21" i="137" s="1"/>
  <c r="P7" i="137"/>
  <c r="U2" i="137"/>
  <c r="V8" i="137"/>
  <c r="V20" i="137" s="1"/>
  <c r="O7" i="137"/>
  <c r="O19" i="137" s="1"/>
  <c r="U5" i="137"/>
  <c r="N4" i="137"/>
  <c r="T2" i="137"/>
  <c r="E7" i="137"/>
  <c r="U8" i="137"/>
  <c r="T5" i="137"/>
  <c r="M4" i="137"/>
  <c r="S2" i="137"/>
  <c r="D6" i="137"/>
  <c r="I6" i="137"/>
  <c r="I2" i="137"/>
  <c r="T8" i="137"/>
  <c r="M7" i="137"/>
  <c r="S5" i="137"/>
  <c r="L4" i="137"/>
  <c r="R2" i="137"/>
  <c r="H2" i="137"/>
  <c r="S8" i="137"/>
  <c r="S20" i="137" s="1"/>
  <c r="L7" i="137"/>
  <c r="R5" i="137"/>
  <c r="R17" i="137" s="1"/>
  <c r="K4" i="137"/>
  <c r="K16" i="137" s="1"/>
  <c r="Q2" i="137"/>
  <c r="D2" i="137"/>
  <c r="G6" i="137"/>
  <c r="G2" i="137"/>
  <c r="J4" i="137"/>
  <c r="J16" i="137" s="1"/>
  <c r="P2" i="137"/>
  <c r="D3" i="137"/>
  <c r="D15" i="137" s="1"/>
  <c r="F6" i="137"/>
  <c r="F2" i="137"/>
  <c r="Q8" i="137"/>
  <c r="O2" i="137"/>
  <c r="O14" i="137" s="1"/>
  <c r="D4" i="137"/>
  <c r="D16" i="137" s="1"/>
  <c r="E6" i="137"/>
  <c r="P8" i="137"/>
  <c r="U3" i="137"/>
  <c r="U15" i="137" s="1"/>
  <c r="N2" i="137"/>
  <c r="N14" i="137" s="1"/>
  <c r="I9" i="137"/>
  <c r="I21" i="137" s="1"/>
  <c r="O8" i="137"/>
  <c r="O20" i="137" s="1"/>
  <c r="U6" i="137"/>
  <c r="N5" i="137"/>
  <c r="T3" i="137"/>
  <c r="H9" i="137"/>
  <c r="H5" i="137"/>
  <c r="N8" i="137"/>
  <c r="M5" i="137"/>
  <c r="S3" i="137"/>
  <c r="L2" i="137"/>
  <c r="G9" i="137"/>
  <c r="G5" i="137"/>
  <c r="T9" i="137"/>
  <c r="T21" i="137" s="1"/>
  <c r="M8" i="137"/>
  <c r="M20" i="137" s="1"/>
  <c r="S6" i="137"/>
  <c r="L5" i="137"/>
  <c r="R3" i="137"/>
  <c r="R15" i="137" s="1"/>
  <c r="K2" i="137"/>
  <c r="H3" i="137"/>
  <c r="H15" i="137" s="1"/>
  <c r="F3" i="137"/>
  <c r="F15" i="137" s="1"/>
  <c r="E3" i="137"/>
  <c r="E10" i="137" s="1"/>
  <c r="Q5" i="137"/>
  <c r="Q17" i="137" s="1"/>
  <c r="V3" i="137"/>
  <c r="I5" i="137"/>
  <c r="F9" i="137"/>
  <c r="F5" i="137"/>
  <c r="S9" i="137"/>
  <c r="L8" i="137"/>
  <c r="R6" i="137"/>
  <c r="K5" i="137"/>
  <c r="Q3" i="137"/>
  <c r="J2" i="137"/>
  <c r="D7" i="137"/>
  <c r="D5" i="137"/>
  <c r="V6" i="137"/>
  <c r="V9" i="137"/>
  <c r="V21" i="137" s="1"/>
  <c r="E9" i="137"/>
  <c r="E21" i="137" s="1"/>
  <c r="R9" i="137"/>
  <c r="R21" i="137" s="1"/>
  <c r="Q6" i="137"/>
  <c r="J5" i="137"/>
  <c r="J17" i="137" s="1"/>
  <c r="P3" i="137"/>
  <c r="P15" i="137" s="1"/>
  <c r="I8" i="137"/>
  <c r="I20" i="137" s="1"/>
  <c r="P6" i="137"/>
  <c r="V4" i="137"/>
  <c r="O3" i="137"/>
  <c r="P5" i="137"/>
  <c r="O5" i="137"/>
  <c r="M2" i="137"/>
  <c r="C2" i="137"/>
  <c r="G14" i="137" s="1"/>
  <c r="C8" i="137"/>
  <c r="U20" i="137" s="1"/>
  <c r="H8" i="137"/>
  <c r="H20" i="137" s="1"/>
  <c r="O6" i="137"/>
  <c r="U4" i="137"/>
  <c r="U16" i="137" s="1"/>
  <c r="N3" i="137"/>
  <c r="N15" i="137" s="1"/>
  <c r="C7" i="137"/>
  <c r="H19" i="137" s="1"/>
  <c r="G8" i="137"/>
  <c r="G20" i="137" s="1"/>
  <c r="N6" i="137"/>
  <c r="T4" i="137"/>
  <c r="M3" i="137"/>
  <c r="C6" i="137"/>
  <c r="J18" i="137" s="1"/>
  <c r="F8" i="137"/>
  <c r="F20" i="137" s="1"/>
  <c r="I75" i="134"/>
  <c r="T154" i="134"/>
  <c r="M75" i="134"/>
  <c r="N154" i="134"/>
  <c r="J233" i="134"/>
  <c r="R233" i="134"/>
  <c r="T233" i="134"/>
  <c r="B205" i="138"/>
  <c r="B127" i="138"/>
  <c r="B56" i="133"/>
  <c r="B212" i="138"/>
  <c r="B134" i="138"/>
  <c r="B55" i="133"/>
  <c r="B133" i="138"/>
  <c r="B211" i="138"/>
  <c r="B54" i="133"/>
  <c r="B210" i="138"/>
  <c r="B132" i="138"/>
  <c r="B53" i="133"/>
  <c r="B131" i="138"/>
  <c r="B209" i="138"/>
  <c r="B51" i="133"/>
  <c r="B207" i="138"/>
  <c r="B129" i="138"/>
  <c r="B52" i="133"/>
  <c r="B208" i="138"/>
  <c r="B130" i="138"/>
  <c r="B50" i="133"/>
  <c r="B206" i="138"/>
  <c r="B128" i="138"/>
  <c r="G15" i="137"/>
  <c r="L20" i="137"/>
  <c r="Q20" i="137"/>
  <c r="B49" i="133"/>
  <c r="N20" i="137"/>
  <c r="E17" i="137"/>
  <c r="K20" i="137"/>
  <c r="V16" i="137"/>
  <c r="S16" i="137"/>
  <c r="I16" i="137"/>
  <c r="E16" i="137"/>
  <c r="T15" i="137"/>
  <c r="Q15" i="137"/>
  <c r="D20" i="137"/>
  <c r="H21" i="137"/>
  <c r="G21" i="137"/>
  <c r="E20" i="137"/>
  <c r="Q16" i="137"/>
  <c r="F21" i="137"/>
  <c r="P16" i="137"/>
  <c r="N16" i="137"/>
  <c r="I15" i="137"/>
  <c r="S15" i="137"/>
  <c r="R16" i="137"/>
  <c r="K15" i="137"/>
  <c r="R20" i="137"/>
  <c r="M16" i="137"/>
  <c r="I14" i="137"/>
  <c r="T20" i="137"/>
  <c r="J15" i="137"/>
  <c r="B16" i="1"/>
  <c r="V154" i="134" l="1"/>
  <c r="O75" i="134"/>
  <c r="V75" i="134"/>
  <c r="S233" i="134"/>
  <c r="G75" i="134"/>
  <c r="S75" i="134"/>
  <c r="S154" i="134"/>
  <c r="N233" i="134"/>
  <c r="J154" i="134"/>
  <c r="M233" i="134"/>
  <c r="C233" i="134"/>
  <c r="Q233" i="134"/>
  <c r="T75" i="134"/>
  <c r="D233" i="134"/>
  <c r="E233" i="134"/>
  <c r="Q75" i="134"/>
  <c r="I154" i="134"/>
  <c r="O233" i="134"/>
  <c r="P154" i="134"/>
  <c r="N75" i="134"/>
  <c r="G154" i="134"/>
  <c r="C75" i="134"/>
  <c r="R154" i="134"/>
  <c r="T10" i="137"/>
  <c r="H10" i="137"/>
  <c r="P20" i="137"/>
  <c r="N19" i="137"/>
  <c r="D10" i="137"/>
  <c r="M19" i="137"/>
  <c r="M10" i="137"/>
  <c r="M15" i="137"/>
  <c r="L15" i="137"/>
  <c r="N21" i="137"/>
  <c r="O15" i="137"/>
  <c r="D17" i="137"/>
  <c r="O21" i="137"/>
  <c r="L14" i="137"/>
  <c r="P21" i="137"/>
  <c r="U18" i="137"/>
  <c r="M17" i="137"/>
  <c r="R19" i="137"/>
  <c r="Q19" i="137"/>
  <c r="F17" i="137"/>
  <c r="O17" i="137"/>
  <c r="V17" i="137"/>
  <c r="J20" i="137"/>
  <c r="U10" i="137"/>
  <c r="K10" i="137"/>
  <c r="S17" i="137"/>
  <c r="D19" i="137"/>
  <c r="H17" i="137"/>
  <c r="J10" i="137"/>
  <c r="M21" i="137"/>
  <c r="U14" i="137"/>
  <c r="K18" i="137"/>
  <c r="T17" i="137"/>
  <c r="I10" i="137"/>
  <c r="F10" i="137"/>
  <c r="S10" i="137"/>
  <c r="K17" i="137"/>
  <c r="L21" i="137"/>
  <c r="S21" i="137"/>
  <c r="R10" i="137"/>
  <c r="K19" i="137"/>
  <c r="G10" i="137"/>
  <c r="L17" i="137"/>
  <c r="T16" i="137"/>
  <c r="L10" i="137"/>
  <c r="V10" i="137"/>
  <c r="J14" i="137"/>
  <c r="G17" i="137"/>
  <c r="S19" i="137"/>
  <c r="P17" i="137"/>
  <c r="F19" i="137"/>
  <c r="K14" i="137"/>
  <c r="N18" i="137"/>
  <c r="P19" i="137"/>
  <c r="U19" i="137"/>
  <c r="V15" i="137"/>
  <c r="N17" i="137"/>
  <c r="U17" i="137"/>
  <c r="O10" i="137"/>
  <c r="G18" i="137"/>
  <c r="P10" i="137"/>
  <c r="S18" i="137"/>
  <c r="H18" i="137"/>
  <c r="H14" i="137"/>
  <c r="V18" i="137"/>
  <c r="P18" i="137"/>
  <c r="L16" i="137"/>
  <c r="Q10" i="137"/>
  <c r="I19" i="137"/>
  <c r="N10" i="137"/>
  <c r="P14" i="137"/>
  <c r="L19" i="137"/>
  <c r="E14" i="137"/>
  <c r="T18" i="137"/>
  <c r="D14" i="137"/>
  <c r="D22" i="137" s="1"/>
  <c r="E18" i="137"/>
  <c r="R18" i="137"/>
  <c r="O18" i="137"/>
  <c r="G19" i="137"/>
  <c r="M18" i="137"/>
  <c r="Q14" i="137"/>
  <c r="V19" i="137"/>
  <c r="E15" i="137"/>
  <c r="C10" i="137"/>
  <c r="M14" i="137"/>
  <c r="S14" i="137"/>
  <c r="L18" i="137"/>
  <c r="Q18" i="137"/>
  <c r="E19" i="137"/>
  <c r="T19" i="137"/>
  <c r="J19" i="137"/>
  <c r="J22" i="137" s="1"/>
  <c r="F18" i="137"/>
  <c r="R14" i="137"/>
  <c r="D18" i="137"/>
  <c r="F14" i="137"/>
  <c r="I18" i="137"/>
  <c r="T14" i="137"/>
  <c r="H51" i="133"/>
  <c r="B56" i="134"/>
  <c r="B214" i="134" s="1"/>
  <c r="T53" i="133"/>
  <c r="B50" i="134"/>
  <c r="B129" i="134" s="1"/>
  <c r="J51" i="133"/>
  <c r="C54" i="133"/>
  <c r="J55" i="133"/>
  <c r="P52" i="133"/>
  <c r="J56" i="133"/>
  <c r="D51" i="133"/>
  <c r="T54" i="133"/>
  <c r="M55" i="133"/>
  <c r="C51" i="133"/>
  <c r="L51" i="133"/>
  <c r="L54" i="133"/>
  <c r="E55" i="133"/>
  <c r="G51" i="133"/>
  <c r="E51" i="133"/>
  <c r="K51" i="133"/>
  <c r="L55" i="133"/>
  <c r="S55" i="133"/>
  <c r="R56" i="133"/>
  <c r="F56" i="133"/>
  <c r="K55" i="133"/>
  <c r="K53" i="133"/>
  <c r="P56" i="133"/>
  <c r="U54" i="133"/>
  <c r="N56" i="133"/>
  <c r="Q53" i="133"/>
  <c r="V53" i="133"/>
  <c r="L53" i="133"/>
  <c r="O52" i="133"/>
  <c r="S53" i="133"/>
  <c r="M52" i="133"/>
  <c r="F53" i="133"/>
  <c r="D55" i="133"/>
  <c r="K56" i="133"/>
  <c r="F51" i="133"/>
  <c r="H53" i="133"/>
  <c r="U53" i="133"/>
  <c r="G55" i="133"/>
  <c r="O56" i="133"/>
  <c r="D53" i="133"/>
  <c r="N52" i="133"/>
  <c r="F52" i="133"/>
  <c r="I54" i="133"/>
  <c r="U52" i="133"/>
  <c r="V55" i="133"/>
  <c r="V51" i="133"/>
  <c r="C56" i="133"/>
  <c r="I53" i="133"/>
  <c r="B54" i="134"/>
  <c r="B212" i="134" s="1"/>
  <c r="M53" i="133"/>
  <c r="G53" i="133"/>
  <c r="J53" i="133"/>
  <c r="B53" i="134"/>
  <c r="B132" i="134" s="1"/>
  <c r="H52" i="133"/>
  <c r="V56" i="133"/>
  <c r="R53" i="133"/>
  <c r="F55" i="133"/>
  <c r="R51" i="133"/>
  <c r="N53" i="133"/>
  <c r="O55" i="133"/>
  <c r="S56" i="133"/>
  <c r="E53" i="133"/>
  <c r="C53" i="133"/>
  <c r="S54" i="133"/>
  <c r="E52" i="133"/>
  <c r="S52" i="133"/>
  <c r="P53" i="133"/>
  <c r="Q55" i="133"/>
  <c r="O53" i="133"/>
  <c r="N51" i="133"/>
  <c r="B55" i="134"/>
  <c r="B213" i="134" s="1"/>
  <c r="Q56" i="133"/>
  <c r="D54" i="133"/>
  <c r="R54" i="133"/>
  <c r="S51" i="133"/>
  <c r="L52" i="133"/>
  <c r="M56" i="133"/>
  <c r="I52" i="133"/>
  <c r="H54" i="133"/>
  <c r="P51" i="133"/>
  <c r="C52" i="133"/>
  <c r="Q54" i="133"/>
  <c r="E54" i="133"/>
  <c r="T55" i="133"/>
  <c r="E56" i="133"/>
  <c r="T52" i="133"/>
  <c r="O54" i="133"/>
  <c r="K54" i="133"/>
  <c r="P55" i="133"/>
  <c r="R55" i="133"/>
  <c r="D56" i="133"/>
  <c r="O51" i="133"/>
  <c r="V52" i="133"/>
  <c r="P54" i="133"/>
  <c r="H55" i="133"/>
  <c r="U56" i="133"/>
  <c r="M51" i="133"/>
  <c r="G52" i="133"/>
  <c r="H56" i="133"/>
  <c r="J54" i="133"/>
  <c r="C55" i="133"/>
  <c r="U51" i="133"/>
  <c r="Q52" i="133"/>
  <c r="V54" i="133"/>
  <c r="I55" i="133"/>
  <c r="L56" i="133"/>
  <c r="N54" i="133"/>
  <c r="U55" i="133"/>
  <c r="I56" i="133"/>
  <c r="F54" i="133"/>
  <c r="N55" i="133"/>
  <c r="T56" i="133"/>
  <c r="G54" i="133"/>
  <c r="M54" i="133"/>
  <c r="R52" i="133"/>
  <c r="B51" i="134"/>
  <c r="D52" i="133"/>
  <c r="I51" i="133"/>
  <c r="K52" i="133"/>
  <c r="Q51" i="133"/>
  <c r="T51" i="133"/>
  <c r="B52" i="134"/>
  <c r="J52" i="133"/>
  <c r="G56" i="133"/>
  <c r="T49" i="133"/>
  <c r="Q49" i="133"/>
  <c r="D49" i="133"/>
  <c r="L49" i="133"/>
  <c r="G49" i="133"/>
  <c r="I49" i="133"/>
  <c r="U49" i="133"/>
  <c r="E49" i="133"/>
  <c r="J49" i="133"/>
  <c r="B49" i="134"/>
  <c r="F49" i="133"/>
  <c r="V49" i="133"/>
  <c r="K49" i="133"/>
  <c r="R49" i="133"/>
  <c r="M49" i="133"/>
  <c r="C49" i="133"/>
  <c r="P49" i="133"/>
  <c r="H49" i="133"/>
  <c r="O49" i="133"/>
  <c r="S49" i="133"/>
  <c r="N49" i="133"/>
  <c r="X11" i="135" l="1"/>
  <c r="K11" i="135"/>
  <c r="G22" i="137"/>
  <c r="M22" i="137"/>
  <c r="V22" i="137"/>
  <c r="N22" i="137"/>
  <c r="L22" i="137"/>
  <c r="P22" i="137"/>
  <c r="S22" i="137"/>
  <c r="F22" i="137"/>
  <c r="B208" i="134"/>
  <c r="K22" i="137"/>
  <c r="U22" i="137"/>
  <c r="E22" i="137"/>
  <c r="Q22" i="137"/>
  <c r="H22" i="137"/>
  <c r="O22" i="137"/>
  <c r="T22" i="137"/>
  <c r="R22" i="137"/>
  <c r="I22" i="137"/>
  <c r="B135" i="134"/>
  <c r="C44" i="137"/>
  <c r="B133" i="134"/>
  <c r="B134" i="134"/>
  <c r="B211" i="134"/>
  <c r="B210" i="134"/>
  <c r="B131" i="134"/>
  <c r="B207" i="134"/>
  <c r="B128" i="134"/>
  <c r="B130" i="134"/>
  <c r="B209" i="134"/>
  <c r="C45" i="137" l="1"/>
  <c r="D45" i="137" s="1"/>
  <c r="C41" i="137"/>
  <c r="C77" i="137" s="1"/>
  <c r="C40" i="137"/>
  <c r="D40" i="137" s="1"/>
  <c r="C33" i="137"/>
  <c r="D33" i="137" s="1"/>
  <c r="C39" i="137"/>
  <c r="C128" i="138" s="1"/>
  <c r="C42" i="137"/>
  <c r="C131" i="138" s="1"/>
  <c r="C43" i="137"/>
  <c r="C132" i="138" s="1"/>
  <c r="C133" i="134" s="1"/>
  <c r="C146" i="134" s="1"/>
  <c r="C50" i="137"/>
  <c r="E38" i="51"/>
  <c r="C56" i="137"/>
  <c r="C92" i="137" s="1"/>
  <c r="C26" i="137"/>
  <c r="D26" i="137" s="1"/>
  <c r="D49" i="138" s="1"/>
  <c r="C32" i="137"/>
  <c r="D32" i="137" s="1"/>
  <c r="C27" i="137"/>
  <c r="C63" i="137" s="1"/>
  <c r="C38" i="137"/>
  <c r="C80" i="137"/>
  <c r="C133" i="138"/>
  <c r="D44" i="137"/>
  <c r="K26" i="51" l="1"/>
  <c r="K103" i="51" s="1"/>
  <c r="K81" i="159" s="1"/>
  <c r="K86" i="159" s="1"/>
  <c r="D41" i="137"/>
  <c r="D77" i="137" s="1"/>
  <c r="C130" i="138"/>
  <c r="C120" i="147" s="1"/>
  <c r="C81" i="137"/>
  <c r="D43" i="137"/>
  <c r="D132" i="138" s="1"/>
  <c r="D133" i="134" s="1"/>
  <c r="C79" i="137"/>
  <c r="I26" i="51"/>
  <c r="C134" i="138"/>
  <c r="C135" i="134" s="1"/>
  <c r="C56" i="138"/>
  <c r="C56" i="134" s="1"/>
  <c r="C69" i="137"/>
  <c r="H26" i="51"/>
  <c r="E103" i="51" s="1"/>
  <c r="E81" i="159" s="1"/>
  <c r="E86" i="159" s="1"/>
  <c r="C122" i="147"/>
  <c r="C134" i="147" s="1"/>
  <c r="C144" i="138"/>
  <c r="C78" i="137"/>
  <c r="D42" i="137"/>
  <c r="D131" i="138" s="1"/>
  <c r="C129" i="138"/>
  <c r="C119" i="147" s="1"/>
  <c r="C28" i="137"/>
  <c r="D28" i="137" s="1"/>
  <c r="E28" i="137" s="1"/>
  <c r="C76" i="137"/>
  <c r="C29" i="137"/>
  <c r="C65" i="137" s="1"/>
  <c r="C54" i="137"/>
  <c r="C90" i="137" s="1"/>
  <c r="C75" i="137"/>
  <c r="D39" i="137"/>
  <c r="E39" i="137" s="1"/>
  <c r="C53" i="137"/>
  <c r="D53" i="137" s="1"/>
  <c r="D89" i="137" s="1"/>
  <c r="C30" i="137"/>
  <c r="C53" i="138" s="1"/>
  <c r="C48" i="147" s="1"/>
  <c r="C51" i="137"/>
  <c r="C206" i="138" s="1"/>
  <c r="C191" i="147" s="1"/>
  <c r="C57" i="137"/>
  <c r="C93" i="137" s="1"/>
  <c r="C52" i="137"/>
  <c r="C207" i="138" s="1"/>
  <c r="C219" i="138" s="1"/>
  <c r="C31" i="137"/>
  <c r="C67" i="137" s="1"/>
  <c r="C55" i="137"/>
  <c r="C210" i="138" s="1"/>
  <c r="C195" i="147" s="1"/>
  <c r="D56" i="137"/>
  <c r="E56" i="137" s="1"/>
  <c r="C211" i="138"/>
  <c r="C223" i="138" s="1"/>
  <c r="C55" i="138"/>
  <c r="C55" i="134" s="1"/>
  <c r="C68" i="137"/>
  <c r="F38" i="51"/>
  <c r="C49" i="138"/>
  <c r="C61" i="138" s="1"/>
  <c r="D38" i="51"/>
  <c r="C62" i="137"/>
  <c r="D27" i="137"/>
  <c r="C50" i="138"/>
  <c r="C194" i="144"/>
  <c r="C138" i="144"/>
  <c r="C26" i="144"/>
  <c r="C82" i="144"/>
  <c r="E26" i="137"/>
  <c r="E62" i="137" s="1"/>
  <c r="D62" i="137"/>
  <c r="D80" i="137"/>
  <c r="E44" i="137"/>
  <c r="D133" i="138"/>
  <c r="C123" i="147"/>
  <c r="C145" i="138"/>
  <c r="C134" i="134"/>
  <c r="D134" i="138"/>
  <c r="D81" i="137"/>
  <c r="E45" i="137"/>
  <c r="C121" i="147"/>
  <c r="C143" i="138"/>
  <c r="C132" i="134"/>
  <c r="D76" i="137"/>
  <c r="D129" i="138"/>
  <c r="E40" i="137"/>
  <c r="C118" i="147"/>
  <c r="C129" i="134"/>
  <c r="C140" i="138"/>
  <c r="D68" i="137"/>
  <c r="D55" i="138"/>
  <c r="E32" i="137"/>
  <c r="C127" i="138"/>
  <c r="D38" i="137"/>
  <c r="C74" i="137"/>
  <c r="C86" i="137"/>
  <c r="D50" i="137"/>
  <c r="C205" i="138"/>
  <c r="E33" i="137"/>
  <c r="D56" i="138"/>
  <c r="D69" i="137"/>
  <c r="D44" i="147"/>
  <c r="D61" i="138"/>
  <c r="D49" i="134"/>
  <c r="E109" i="51" l="1"/>
  <c r="F103" i="51"/>
  <c r="F86" i="159" s="1"/>
  <c r="N88" i="51"/>
  <c r="N94" i="51" s="1"/>
  <c r="L26" i="51"/>
  <c r="J26" i="51"/>
  <c r="C68" i="138"/>
  <c r="C51" i="147"/>
  <c r="C63" i="147" s="1"/>
  <c r="D55" i="137"/>
  <c r="D210" i="138" s="1"/>
  <c r="D195" i="147" s="1"/>
  <c r="C131" i="134"/>
  <c r="C144" i="134" s="1"/>
  <c r="C142" i="138"/>
  <c r="C146" i="138"/>
  <c r="E41" i="137"/>
  <c r="E130" i="138" s="1"/>
  <c r="D130" i="138"/>
  <c r="D131" i="134" s="1"/>
  <c r="D122" i="147"/>
  <c r="D134" i="147" s="1"/>
  <c r="D144" i="138"/>
  <c r="C124" i="147"/>
  <c r="C136" i="147" s="1"/>
  <c r="D79" i="137"/>
  <c r="E43" i="137"/>
  <c r="F43" i="137" s="1"/>
  <c r="F132" i="138" s="1"/>
  <c r="D31" i="137"/>
  <c r="E31" i="137" s="1"/>
  <c r="F31" i="137" s="1"/>
  <c r="C212" i="134"/>
  <c r="C225" i="134" s="1"/>
  <c r="C91" i="137"/>
  <c r="D29" i="137"/>
  <c r="D65" i="137" s="1"/>
  <c r="C89" i="137"/>
  <c r="C141" i="138"/>
  <c r="C130" i="134"/>
  <c r="C143" i="134" s="1"/>
  <c r="C54" i="138"/>
  <c r="C66" i="138" s="1"/>
  <c r="E42" i="137"/>
  <c r="E131" i="138" s="1"/>
  <c r="D78" i="137"/>
  <c r="C64" i="137"/>
  <c r="C51" i="138"/>
  <c r="C63" i="138" s="1"/>
  <c r="C52" i="138"/>
  <c r="C64" i="138" s="1"/>
  <c r="C65" i="138"/>
  <c r="G26" i="51"/>
  <c r="D103" i="51" s="1"/>
  <c r="D128" i="138"/>
  <c r="D118" i="147" s="1"/>
  <c r="C34" i="137"/>
  <c r="C218" i="138"/>
  <c r="C209" i="138"/>
  <c r="C194" i="147" s="1"/>
  <c r="C206" i="147" s="1"/>
  <c r="D75" i="137"/>
  <c r="D64" i="137"/>
  <c r="C208" i="138"/>
  <c r="C193" i="147" s="1"/>
  <c r="C205" i="147" s="1"/>
  <c r="C98" i="152" s="1"/>
  <c r="C222" i="138"/>
  <c r="D51" i="138"/>
  <c r="D63" i="138" s="1"/>
  <c r="C53" i="134"/>
  <c r="C66" i="134" s="1"/>
  <c r="C208" i="134"/>
  <c r="C221" i="134" s="1"/>
  <c r="C212" i="138"/>
  <c r="C197" i="147" s="1"/>
  <c r="C209" i="147" s="1"/>
  <c r="D51" i="137"/>
  <c r="D206" i="138" s="1"/>
  <c r="D191" i="147" s="1"/>
  <c r="C209" i="134"/>
  <c r="C222" i="134" s="1"/>
  <c r="C88" i="137"/>
  <c r="D52" i="137"/>
  <c r="D207" i="138" s="1"/>
  <c r="D192" i="147" s="1"/>
  <c r="C192" i="147"/>
  <c r="C204" i="147" s="1"/>
  <c r="C66" i="137"/>
  <c r="D54" i="137"/>
  <c r="E54" i="137" s="1"/>
  <c r="E90" i="137" s="1"/>
  <c r="D57" i="137"/>
  <c r="C58" i="137"/>
  <c r="E53" i="137"/>
  <c r="E89" i="137" s="1"/>
  <c r="C82" i="137"/>
  <c r="C87" i="137"/>
  <c r="D30" i="137"/>
  <c r="E30" i="137" s="1"/>
  <c r="E53" i="138" s="1"/>
  <c r="D208" i="138"/>
  <c r="D193" i="147" s="1"/>
  <c r="D205" i="147" s="1"/>
  <c r="D92" i="137"/>
  <c r="D211" i="138"/>
  <c r="D223" i="138" s="1"/>
  <c r="C213" i="134"/>
  <c r="C226" i="134" s="1"/>
  <c r="C196" i="147"/>
  <c r="C208" i="147" s="1"/>
  <c r="C49" i="134"/>
  <c r="C62" i="134" s="1"/>
  <c r="C67" i="138"/>
  <c r="C50" i="147"/>
  <c r="C62" i="147" s="1"/>
  <c r="C44" i="147"/>
  <c r="C45" i="147"/>
  <c r="C57" i="147" s="1"/>
  <c r="C62" i="138"/>
  <c r="C50" i="134"/>
  <c r="C63" i="134" s="1"/>
  <c r="E27" i="137"/>
  <c r="D63" i="137"/>
  <c r="D50" i="138"/>
  <c r="F26" i="137"/>
  <c r="F62" i="137" s="1"/>
  <c r="E49" i="138"/>
  <c r="E49" i="134" s="1"/>
  <c r="C194" i="152"/>
  <c r="C26" i="152"/>
  <c r="C138" i="152"/>
  <c r="C82" i="152"/>
  <c r="E64" i="137"/>
  <c r="E51" i="138"/>
  <c r="F28" i="137"/>
  <c r="C148" i="134"/>
  <c r="D123" i="147"/>
  <c r="D145" i="138"/>
  <c r="D134" i="134"/>
  <c r="D121" i="147"/>
  <c r="D143" i="138"/>
  <c r="D132" i="134"/>
  <c r="E80" i="137"/>
  <c r="E133" i="138"/>
  <c r="F44" i="137"/>
  <c r="D51" i="147"/>
  <c r="D68" i="138"/>
  <c r="D56" i="134"/>
  <c r="C207" i="147"/>
  <c r="E68" i="137"/>
  <c r="E55" i="138"/>
  <c r="F32" i="137"/>
  <c r="E81" i="137"/>
  <c r="F45" i="137"/>
  <c r="E134" i="138"/>
  <c r="D50" i="147"/>
  <c r="D67" i="138"/>
  <c r="D55" i="134"/>
  <c r="C68" i="134"/>
  <c r="C132" i="147"/>
  <c r="F33" i="137"/>
  <c r="E69" i="137"/>
  <c r="E56" i="138"/>
  <c r="C190" i="147"/>
  <c r="C207" i="134"/>
  <c r="C217" i="138"/>
  <c r="C133" i="147"/>
  <c r="E38" i="137"/>
  <c r="D74" i="137"/>
  <c r="D127" i="138"/>
  <c r="C69" i="134"/>
  <c r="D146" i="134"/>
  <c r="D124" i="147"/>
  <c r="D146" i="138"/>
  <c r="D135" i="134"/>
  <c r="C60" i="147"/>
  <c r="C147" i="134"/>
  <c r="F40" i="137"/>
  <c r="E76" i="137"/>
  <c r="E129" i="138"/>
  <c r="C145" i="134"/>
  <c r="D205" i="138"/>
  <c r="D86" i="137"/>
  <c r="E50" i="137"/>
  <c r="C142" i="134"/>
  <c r="C203" i="147"/>
  <c r="C117" i="147"/>
  <c r="C139" i="138"/>
  <c r="C153" i="138"/>
  <c r="C128" i="134"/>
  <c r="C136" i="138"/>
  <c r="E75" i="137"/>
  <c r="E128" i="138"/>
  <c r="F39" i="137"/>
  <c r="C131" i="147"/>
  <c r="C135" i="147"/>
  <c r="D119" i="147"/>
  <c r="D141" i="138"/>
  <c r="D130" i="134"/>
  <c r="E92" i="137"/>
  <c r="F56" i="137"/>
  <c r="E211" i="138"/>
  <c r="C130" i="147"/>
  <c r="D56" i="147"/>
  <c r="D62" i="134"/>
  <c r="D109" i="51" l="1"/>
  <c r="D86" i="159"/>
  <c r="L103" i="51"/>
  <c r="J103" i="51"/>
  <c r="M88" i="51"/>
  <c r="M94" i="51" s="1"/>
  <c r="F109" i="51"/>
  <c r="O88" i="51"/>
  <c r="O94" i="51" s="1"/>
  <c r="K109" i="51"/>
  <c r="E55" i="137"/>
  <c r="E91" i="137" s="1"/>
  <c r="F79" i="137"/>
  <c r="G43" i="137"/>
  <c r="G79" i="137" s="1"/>
  <c r="E77" i="137"/>
  <c r="D91" i="137"/>
  <c r="D212" i="134"/>
  <c r="D225" i="134" s="1"/>
  <c r="D222" i="138"/>
  <c r="D142" i="138"/>
  <c r="D120" i="147"/>
  <c r="D132" i="147" s="1"/>
  <c r="C54" i="134"/>
  <c r="C67" i="134" s="1"/>
  <c r="C176" i="144" s="1"/>
  <c r="F41" i="137"/>
  <c r="F77" i="137" s="1"/>
  <c r="C70" i="137"/>
  <c r="E79" i="137"/>
  <c r="E132" i="138"/>
  <c r="E144" i="138" s="1"/>
  <c r="C46" i="147"/>
  <c r="C58" i="147" s="1"/>
  <c r="C173" i="152" s="1"/>
  <c r="F42" i="137"/>
  <c r="G42" i="137" s="1"/>
  <c r="E54" i="138"/>
  <c r="E49" i="147" s="1"/>
  <c r="E67" i="137"/>
  <c r="D67" i="137"/>
  <c r="D54" i="138"/>
  <c r="D49" i="147" s="1"/>
  <c r="D61" i="147" s="1"/>
  <c r="C47" i="147"/>
  <c r="C59" i="147" s="1"/>
  <c r="C174" i="152" s="1"/>
  <c r="D52" i="138"/>
  <c r="D64" i="138" s="1"/>
  <c r="E29" i="137"/>
  <c r="E52" i="138" s="1"/>
  <c r="E47" i="147" s="1"/>
  <c r="C75" i="138"/>
  <c r="C148" i="138"/>
  <c r="C49" i="147"/>
  <c r="C61" i="147" s="1"/>
  <c r="C8" i="152" s="1"/>
  <c r="C51" i="134"/>
  <c r="C64" i="134" s="1"/>
  <c r="C173" i="144" s="1"/>
  <c r="C211" i="134"/>
  <c r="C224" i="134" s="1"/>
  <c r="C211" i="144" s="1"/>
  <c r="C210" i="152"/>
  <c r="D51" i="134"/>
  <c r="D64" i="134" s="1"/>
  <c r="D46" i="147"/>
  <c r="D58" i="147" s="1"/>
  <c r="E78" i="137"/>
  <c r="C42" i="152"/>
  <c r="C154" i="152"/>
  <c r="C52" i="134"/>
  <c r="C221" i="138"/>
  <c r="C224" i="138"/>
  <c r="C220" i="138"/>
  <c r="D140" i="138"/>
  <c r="D129" i="134"/>
  <c r="D142" i="134" s="1"/>
  <c r="C58" i="138"/>
  <c r="D82" i="137"/>
  <c r="C231" i="138"/>
  <c r="C214" i="134"/>
  <c r="C227" i="134" s="1"/>
  <c r="C102" i="144" s="1"/>
  <c r="C210" i="134"/>
  <c r="C223" i="134" s="1"/>
  <c r="C210" i="144" s="1"/>
  <c r="C214" i="138"/>
  <c r="D87" i="137"/>
  <c r="D219" i="138"/>
  <c r="D208" i="134"/>
  <c r="D221" i="134" s="1"/>
  <c r="C94" i="137"/>
  <c r="E51" i="137"/>
  <c r="E87" i="137" s="1"/>
  <c r="D218" i="138"/>
  <c r="E209" i="138"/>
  <c r="E221" i="138" s="1"/>
  <c r="D209" i="138"/>
  <c r="D194" i="147" s="1"/>
  <c r="D206" i="147" s="1"/>
  <c r="F54" i="137"/>
  <c r="G54" i="137" s="1"/>
  <c r="D209" i="134"/>
  <c r="D222" i="134" s="1"/>
  <c r="D210" i="134"/>
  <c r="D223" i="134" s="1"/>
  <c r="D42" i="144" s="1"/>
  <c r="D34" i="137"/>
  <c r="E66" i="137"/>
  <c r="D88" i="137"/>
  <c r="F53" i="137"/>
  <c r="F208" i="138" s="1"/>
  <c r="F193" i="147" s="1"/>
  <c r="D58" i="137"/>
  <c r="F30" i="137"/>
  <c r="F66" i="137" s="1"/>
  <c r="E52" i="137"/>
  <c r="F52" i="137" s="1"/>
  <c r="F88" i="137" s="1"/>
  <c r="D212" i="138"/>
  <c r="D93" i="137"/>
  <c r="E57" i="137"/>
  <c r="D220" i="138"/>
  <c r="D90" i="137"/>
  <c r="D66" i="137"/>
  <c r="E208" i="138"/>
  <c r="E220" i="138" s="1"/>
  <c r="D53" i="138"/>
  <c r="D196" i="147"/>
  <c r="D208" i="147" s="1"/>
  <c r="D213" i="134"/>
  <c r="D226" i="134" s="1"/>
  <c r="E61" i="138"/>
  <c r="E44" i="147"/>
  <c r="E56" i="147" s="1"/>
  <c r="C70" i="138"/>
  <c r="C56" i="147"/>
  <c r="E50" i="138"/>
  <c r="E45" i="147" s="1"/>
  <c r="E63" i="137"/>
  <c r="F27" i="137"/>
  <c r="D50" i="134"/>
  <c r="D62" i="138"/>
  <c r="D45" i="147"/>
  <c r="F49" i="138"/>
  <c r="F44" i="147" s="1"/>
  <c r="G26" i="137"/>
  <c r="G62" i="137" s="1"/>
  <c r="C192" i="152"/>
  <c r="C24" i="152"/>
  <c r="C136" i="152"/>
  <c r="C80" i="152"/>
  <c r="C209" i="144"/>
  <c r="C153" i="144"/>
  <c r="C97" i="144"/>
  <c r="C41" i="144"/>
  <c r="C122" i="144"/>
  <c r="C10" i="144"/>
  <c r="C66" i="144"/>
  <c r="C178" i="144"/>
  <c r="C190" i="144"/>
  <c r="C134" i="144"/>
  <c r="C78" i="144"/>
  <c r="C22" i="144"/>
  <c r="C192" i="144"/>
  <c r="C136" i="144"/>
  <c r="C80" i="144"/>
  <c r="C24" i="144"/>
  <c r="C84" i="152"/>
  <c r="C196" i="152"/>
  <c r="C140" i="152"/>
  <c r="C28" i="152"/>
  <c r="C191" i="152"/>
  <c r="C135" i="152"/>
  <c r="C23" i="152"/>
  <c r="C79" i="152"/>
  <c r="C157" i="152"/>
  <c r="C101" i="152"/>
  <c r="C213" i="152"/>
  <c r="C45" i="152"/>
  <c r="D82" i="152"/>
  <c r="D26" i="152"/>
  <c r="D194" i="152"/>
  <c r="D138" i="152"/>
  <c r="D59" i="144"/>
  <c r="D3" i="144"/>
  <c r="D171" i="144"/>
  <c r="D115" i="144"/>
  <c r="C212" i="144"/>
  <c r="C44" i="144"/>
  <c r="C156" i="144"/>
  <c r="C100" i="144"/>
  <c r="C63" i="144"/>
  <c r="C119" i="144"/>
  <c r="C7" i="144"/>
  <c r="C175" i="144"/>
  <c r="C213" i="144"/>
  <c r="C45" i="144"/>
  <c r="C101" i="144"/>
  <c r="C157" i="144"/>
  <c r="C177" i="152"/>
  <c r="C121" i="152"/>
  <c r="C65" i="152"/>
  <c r="C9" i="152"/>
  <c r="C97" i="152"/>
  <c r="C153" i="152"/>
  <c r="C209" i="152"/>
  <c r="C41" i="152"/>
  <c r="C122" i="152"/>
  <c r="C66" i="152"/>
  <c r="C10" i="152"/>
  <c r="C178" i="152"/>
  <c r="D194" i="144"/>
  <c r="D26" i="144"/>
  <c r="D138" i="144"/>
  <c r="D82" i="144"/>
  <c r="C99" i="152"/>
  <c r="C155" i="152"/>
  <c r="C211" i="152"/>
  <c r="C43" i="152"/>
  <c r="C96" i="152"/>
  <c r="C40" i="152"/>
  <c r="C152" i="152"/>
  <c r="C208" i="152"/>
  <c r="C195" i="152"/>
  <c r="C139" i="152"/>
  <c r="C83" i="152"/>
  <c r="C27" i="152"/>
  <c r="C116" i="152"/>
  <c r="C172" i="152"/>
  <c r="C60" i="152"/>
  <c r="C4" i="152"/>
  <c r="C63" i="152"/>
  <c r="C7" i="152"/>
  <c r="C119" i="152"/>
  <c r="C175" i="152"/>
  <c r="C193" i="144"/>
  <c r="C137" i="144"/>
  <c r="C81" i="144"/>
  <c r="C25" i="144"/>
  <c r="C172" i="144"/>
  <c r="C4" i="144"/>
  <c r="C116" i="144"/>
  <c r="C60" i="144"/>
  <c r="C196" i="144"/>
  <c r="C84" i="144"/>
  <c r="C28" i="144"/>
  <c r="C140" i="144"/>
  <c r="C193" i="152"/>
  <c r="C25" i="152"/>
  <c r="C137" i="152"/>
  <c r="C81" i="152"/>
  <c r="C44" i="152"/>
  <c r="C100" i="152"/>
  <c r="C156" i="152"/>
  <c r="C212" i="152"/>
  <c r="C59" i="144"/>
  <c r="C3" i="144"/>
  <c r="C171" i="144"/>
  <c r="C115" i="144"/>
  <c r="C65" i="144"/>
  <c r="C121" i="144"/>
  <c r="C9" i="144"/>
  <c r="C177" i="144"/>
  <c r="C195" i="144"/>
  <c r="C83" i="144"/>
  <c r="C27" i="144"/>
  <c r="C139" i="144"/>
  <c r="C214" i="152"/>
  <c r="C158" i="152"/>
  <c r="C102" i="152"/>
  <c r="C46" i="152"/>
  <c r="C135" i="144"/>
  <c r="C191" i="144"/>
  <c r="C79" i="144"/>
  <c r="C23" i="144"/>
  <c r="D3" i="152"/>
  <c r="D171" i="152"/>
  <c r="D59" i="152"/>
  <c r="D115" i="152"/>
  <c r="D98" i="152"/>
  <c r="D210" i="152"/>
  <c r="D42" i="152"/>
  <c r="D154" i="152"/>
  <c r="C208" i="144"/>
  <c r="C152" i="144"/>
  <c r="C96" i="144"/>
  <c r="C40" i="144"/>
  <c r="C190" i="152"/>
  <c r="C134" i="152"/>
  <c r="C22" i="152"/>
  <c r="C78" i="152"/>
  <c r="F81" i="137"/>
  <c r="F134" i="138"/>
  <c r="G45" i="137"/>
  <c r="E119" i="147"/>
  <c r="E141" i="138"/>
  <c r="E130" i="134"/>
  <c r="D69" i="134"/>
  <c r="D207" i="147"/>
  <c r="E121" i="147"/>
  <c r="E143" i="138"/>
  <c r="E132" i="134"/>
  <c r="G44" i="137"/>
  <c r="F80" i="137"/>
  <c r="F133" i="138"/>
  <c r="F50" i="137"/>
  <c r="E205" i="138"/>
  <c r="E86" i="137"/>
  <c r="E120" i="147"/>
  <c r="E142" i="138"/>
  <c r="E131" i="134"/>
  <c r="F38" i="137"/>
  <c r="E127" i="138"/>
  <c r="E74" i="137"/>
  <c r="E123" i="147"/>
  <c r="E145" i="138"/>
  <c r="E134" i="134"/>
  <c r="D204" i="147"/>
  <c r="F92" i="137"/>
  <c r="F211" i="138"/>
  <c r="G56" i="137"/>
  <c r="D207" i="134"/>
  <c r="D190" i="147"/>
  <c r="D217" i="138"/>
  <c r="D68" i="134"/>
  <c r="D143" i="134"/>
  <c r="D203" i="147"/>
  <c r="D145" i="134"/>
  <c r="D148" i="134"/>
  <c r="F55" i="138"/>
  <c r="F68" i="137"/>
  <c r="G32" i="137"/>
  <c r="F122" i="147"/>
  <c r="F144" i="138"/>
  <c r="F133" i="134"/>
  <c r="E196" i="147"/>
  <c r="E223" i="138"/>
  <c r="E213" i="134"/>
  <c r="E118" i="147"/>
  <c r="E129" i="134"/>
  <c r="E140" i="138"/>
  <c r="C137" i="134"/>
  <c r="C141" i="134"/>
  <c r="C155" i="134"/>
  <c r="C157" i="134" s="1"/>
  <c r="D62" i="147"/>
  <c r="G28" i="137"/>
  <c r="F64" i="137"/>
  <c r="F51" i="138"/>
  <c r="C126" i="147"/>
  <c r="C129" i="147"/>
  <c r="C143" i="147"/>
  <c r="C145" i="147" s="1"/>
  <c r="E48" i="147"/>
  <c r="E65" i="138"/>
  <c r="E53" i="134"/>
  <c r="D144" i="134"/>
  <c r="G40" i="137"/>
  <c r="F129" i="138"/>
  <c r="F76" i="137"/>
  <c r="D63" i="147"/>
  <c r="C220" i="134"/>
  <c r="C199" i="147"/>
  <c r="C216" i="147"/>
  <c r="C218" i="147" s="1"/>
  <c r="C202" i="147"/>
  <c r="D128" i="134"/>
  <c r="D153" i="138"/>
  <c r="D117" i="147"/>
  <c r="D136" i="138"/>
  <c r="D139" i="138"/>
  <c r="F56" i="138"/>
  <c r="F69" i="137"/>
  <c r="G33" i="137"/>
  <c r="F75" i="137"/>
  <c r="F128" i="138"/>
  <c r="G39" i="137"/>
  <c r="D131" i="147"/>
  <c r="D133" i="147"/>
  <c r="E46" i="147"/>
  <c r="E63" i="138"/>
  <c r="E51" i="134"/>
  <c r="D135" i="147"/>
  <c r="D136" i="147"/>
  <c r="E124" i="147"/>
  <c r="E146" i="138"/>
  <c r="E135" i="134"/>
  <c r="E50" i="147"/>
  <c r="E67" i="138"/>
  <c r="E55" i="134"/>
  <c r="E51" i="147"/>
  <c r="E68" i="138"/>
  <c r="E56" i="134"/>
  <c r="F54" i="138"/>
  <c r="F67" i="137"/>
  <c r="G31" i="137"/>
  <c r="D130" i="147"/>
  <c r="D147" i="134"/>
  <c r="E62" i="134"/>
  <c r="L109" i="51" l="1"/>
  <c r="L86" i="159"/>
  <c r="J109" i="51"/>
  <c r="J86" i="159"/>
  <c r="F130" i="138"/>
  <c r="F120" i="147" s="1"/>
  <c r="G132" i="138"/>
  <c r="G133" i="134" s="1"/>
  <c r="F55" i="137"/>
  <c r="F91" i="137" s="1"/>
  <c r="E210" i="138"/>
  <c r="E195" i="147" s="1"/>
  <c r="E207" i="147" s="1"/>
  <c r="G41" i="137"/>
  <c r="H41" i="137" s="1"/>
  <c r="H43" i="137"/>
  <c r="I43" i="137" s="1"/>
  <c r="C64" i="144"/>
  <c r="C8" i="144"/>
  <c r="C120" i="144"/>
  <c r="F78" i="137"/>
  <c r="F131" i="138"/>
  <c r="F121" i="147" s="1"/>
  <c r="E122" i="147"/>
  <c r="E134" i="147" s="1"/>
  <c r="E26" i="152" s="1"/>
  <c r="E66" i="138"/>
  <c r="E54" i="134"/>
  <c r="E67" i="134" s="1"/>
  <c r="C118" i="152"/>
  <c r="D52" i="134"/>
  <c r="D65" i="134" s="1"/>
  <c r="D118" i="144" s="1"/>
  <c r="C6" i="152"/>
  <c r="C62" i="152"/>
  <c r="D70" i="137"/>
  <c r="D66" i="138"/>
  <c r="D75" i="138"/>
  <c r="E133" i="134"/>
  <c r="E146" i="134" s="1"/>
  <c r="E82" i="144" s="1"/>
  <c r="C176" i="152"/>
  <c r="C117" i="152"/>
  <c r="C5" i="152"/>
  <c r="C61" i="152"/>
  <c r="C120" i="152"/>
  <c r="C64" i="152"/>
  <c r="D54" i="134"/>
  <c r="D67" i="134" s="1"/>
  <c r="D8" i="144" s="1"/>
  <c r="E52" i="134"/>
  <c r="E65" i="134" s="1"/>
  <c r="E64" i="138"/>
  <c r="E65" i="137"/>
  <c r="E70" i="137" s="1"/>
  <c r="E34" i="137"/>
  <c r="C76" i="134"/>
  <c r="C78" i="134" s="1"/>
  <c r="D47" i="147"/>
  <c r="D59" i="147" s="1"/>
  <c r="D118" i="152" s="1"/>
  <c r="F29" i="137"/>
  <c r="F52" i="138" s="1"/>
  <c r="F64" i="138" s="1"/>
  <c r="C5" i="144"/>
  <c r="C61" i="144"/>
  <c r="C70" i="147"/>
  <c r="C72" i="147" s="1"/>
  <c r="C53" i="147"/>
  <c r="C155" i="144"/>
  <c r="C65" i="147"/>
  <c r="C99" i="144"/>
  <c r="C117" i="144"/>
  <c r="E82" i="137"/>
  <c r="C43" i="144"/>
  <c r="C65" i="134"/>
  <c r="C71" i="134" s="1"/>
  <c r="D148" i="138"/>
  <c r="C226" i="138"/>
  <c r="C58" i="134"/>
  <c r="C234" i="134"/>
  <c r="C236" i="134" s="1"/>
  <c r="C98" i="144"/>
  <c r="C42" i="144"/>
  <c r="C154" i="144"/>
  <c r="C158" i="144"/>
  <c r="C46" i="144"/>
  <c r="F51" i="137"/>
  <c r="F206" i="138" s="1"/>
  <c r="F191" i="147" s="1"/>
  <c r="C216" i="134"/>
  <c r="C214" i="144"/>
  <c r="E206" i="138"/>
  <c r="E191" i="147" s="1"/>
  <c r="E203" i="147" s="1"/>
  <c r="D94" i="137"/>
  <c r="D53" i="134"/>
  <c r="D66" i="134" s="1"/>
  <c r="D7" i="144" s="1"/>
  <c r="F90" i="137"/>
  <c r="F209" i="138"/>
  <c r="F194" i="147" s="1"/>
  <c r="E194" i="147"/>
  <c r="E206" i="147" s="1"/>
  <c r="D154" i="144"/>
  <c r="E211" i="134"/>
  <c r="E224" i="134" s="1"/>
  <c r="D214" i="138"/>
  <c r="D210" i="144"/>
  <c r="D221" i="138"/>
  <c r="D226" i="138" s="1"/>
  <c r="F210" i="134"/>
  <c r="F223" i="134" s="1"/>
  <c r="F53" i="138"/>
  <c r="F48" i="147" s="1"/>
  <c r="G30" i="137"/>
  <c r="H30" i="137" s="1"/>
  <c r="E58" i="137"/>
  <c r="E207" i="138"/>
  <c r="E192" i="147" s="1"/>
  <c r="E204" i="147" s="1"/>
  <c r="E88" i="137"/>
  <c r="E94" i="137" s="1"/>
  <c r="F89" i="137"/>
  <c r="D211" i="134"/>
  <c r="D224" i="134" s="1"/>
  <c r="D43" i="144" s="1"/>
  <c r="G53" i="137"/>
  <c r="G89" i="137" s="1"/>
  <c r="F220" i="138"/>
  <c r="D98" i="144"/>
  <c r="E210" i="134"/>
  <c r="E223" i="134" s="1"/>
  <c r="E42" i="144" s="1"/>
  <c r="D231" i="138"/>
  <c r="G52" i="137"/>
  <c r="G207" i="138" s="1"/>
  <c r="F207" i="138"/>
  <c r="F219" i="138" s="1"/>
  <c r="D197" i="147"/>
  <c r="D209" i="147" s="1"/>
  <c r="D214" i="152" s="1"/>
  <c r="D214" i="134"/>
  <c r="D227" i="134" s="1"/>
  <c r="D46" i="144" s="1"/>
  <c r="D224" i="138"/>
  <c r="E93" i="137"/>
  <c r="F57" i="137"/>
  <c r="E212" i="138"/>
  <c r="D65" i="138"/>
  <c r="D48" i="147"/>
  <c r="D60" i="147" s="1"/>
  <c r="D175" i="152" s="1"/>
  <c r="D58" i="138"/>
  <c r="E193" i="147"/>
  <c r="E205" i="147" s="1"/>
  <c r="E210" i="152" s="1"/>
  <c r="C59" i="152"/>
  <c r="C3" i="152"/>
  <c r="C171" i="152"/>
  <c r="C115" i="152"/>
  <c r="D63" i="134"/>
  <c r="E50" i="134"/>
  <c r="F63" i="137"/>
  <c r="G27" i="137"/>
  <c r="F50" i="138"/>
  <c r="E62" i="138"/>
  <c r="E58" i="138"/>
  <c r="E75" i="138"/>
  <c r="F49" i="134"/>
  <c r="F62" i="134" s="1"/>
  <c r="D57" i="147"/>
  <c r="D60" i="152" s="1"/>
  <c r="F61" i="138"/>
  <c r="H26" i="137"/>
  <c r="I26" i="137" s="1"/>
  <c r="G49" i="138"/>
  <c r="G44" i="147" s="1"/>
  <c r="D208" i="144"/>
  <c r="D40" i="144"/>
  <c r="D152" i="144"/>
  <c r="D96" i="144"/>
  <c r="D212" i="152"/>
  <c r="D44" i="152"/>
  <c r="D156" i="152"/>
  <c r="D100" i="152"/>
  <c r="D196" i="152"/>
  <c r="D84" i="152"/>
  <c r="D140" i="152"/>
  <c r="D28" i="152"/>
  <c r="D209" i="144"/>
  <c r="D97" i="144"/>
  <c r="D153" i="144"/>
  <c r="D41" i="144"/>
  <c r="D27" i="152"/>
  <c r="D139" i="152"/>
  <c r="D83" i="152"/>
  <c r="D195" i="152"/>
  <c r="D66" i="144"/>
  <c r="D122" i="144"/>
  <c r="D178" i="144"/>
  <c r="D10" i="144"/>
  <c r="D43" i="152"/>
  <c r="D155" i="152"/>
  <c r="D211" i="152"/>
  <c r="D99" i="152"/>
  <c r="D192" i="144"/>
  <c r="D136" i="144"/>
  <c r="D80" i="144"/>
  <c r="D24" i="144"/>
  <c r="D9" i="152"/>
  <c r="D65" i="152"/>
  <c r="D177" i="152"/>
  <c r="D121" i="152"/>
  <c r="E59" i="144"/>
  <c r="E115" i="144"/>
  <c r="E171" i="144"/>
  <c r="E3" i="144"/>
  <c r="C189" i="144"/>
  <c r="C197" i="144" s="1"/>
  <c r="C77" i="144"/>
  <c r="C85" i="144" s="1"/>
  <c r="C133" i="144"/>
  <c r="C141" i="144" s="1"/>
  <c r="C21" i="144"/>
  <c r="C29" i="144" s="1"/>
  <c r="D65" i="144"/>
  <c r="D177" i="144"/>
  <c r="D121" i="144"/>
  <c r="D9" i="144"/>
  <c r="D196" i="144"/>
  <c r="D140" i="144"/>
  <c r="D84" i="144"/>
  <c r="D28" i="144"/>
  <c r="D61" i="152"/>
  <c r="D173" i="152"/>
  <c r="D5" i="152"/>
  <c r="D117" i="152"/>
  <c r="C138" i="147"/>
  <c r="C133" i="152"/>
  <c r="C141" i="152" s="1"/>
  <c r="C189" i="152"/>
  <c r="C197" i="152" s="1"/>
  <c r="C77" i="152"/>
  <c r="C85" i="152" s="1"/>
  <c r="C21" i="152"/>
  <c r="C29" i="152" s="1"/>
  <c r="D209" i="152"/>
  <c r="D153" i="152"/>
  <c r="D97" i="152"/>
  <c r="D41" i="152"/>
  <c r="D61" i="144"/>
  <c r="D5" i="144"/>
  <c r="D173" i="144"/>
  <c r="D117" i="144"/>
  <c r="D135" i="144"/>
  <c r="D79" i="144"/>
  <c r="D191" i="144"/>
  <c r="D23" i="144"/>
  <c r="E3" i="152"/>
  <c r="E115" i="152"/>
  <c r="E59" i="152"/>
  <c r="E171" i="152"/>
  <c r="D212" i="144"/>
  <c r="D156" i="144"/>
  <c r="D100" i="144"/>
  <c r="D44" i="144"/>
  <c r="D195" i="144"/>
  <c r="D139" i="144"/>
  <c r="D83" i="144"/>
  <c r="D27" i="144"/>
  <c r="D213" i="152"/>
  <c r="D45" i="152"/>
  <c r="D101" i="152"/>
  <c r="D157" i="152"/>
  <c r="C229" i="134"/>
  <c r="C151" i="144"/>
  <c r="C207" i="144"/>
  <c r="C39" i="144"/>
  <c r="C95" i="144"/>
  <c r="D193" i="152"/>
  <c r="D137" i="152"/>
  <c r="D81" i="152"/>
  <c r="D25" i="152"/>
  <c r="D134" i="144"/>
  <c r="D22" i="144"/>
  <c r="D190" i="144"/>
  <c r="D78" i="144"/>
  <c r="D193" i="144"/>
  <c r="D81" i="144"/>
  <c r="D25" i="144"/>
  <c r="D137" i="144"/>
  <c r="D40" i="152"/>
  <c r="D152" i="152"/>
  <c r="D96" i="152"/>
  <c r="D208" i="152"/>
  <c r="D8" i="152"/>
  <c r="D176" i="152"/>
  <c r="D120" i="152"/>
  <c r="D64" i="152"/>
  <c r="C211" i="147"/>
  <c r="C39" i="152"/>
  <c r="C47" i="152" s="1"/>
  <c r="C151" i="152"/>
  <c r="C159" i="152" s="1"/>
  <c r="C95" i="152"/>
  <c r="C103" i="152" s="1"/>
  <c r="C207" i="152"/>
  <c r="C215" i="152" s="1"/>
  <c r="D134" i="152"/>
  <c r="D22" i="152"/>
  <c r="D190" i="152"/>
  <c r="D78" i="152"/>
  <c r="D192" i="152"/>
  <c r="D136" i="152"/>
  <c r="D80" i="152"/>
  <c r="D24" i="152"/>
  <c r="D10" i="152"/>
  <c r="D66" i="152"/>
  <c r="D178" i="152"/>
  <c r="D122" i="152"/>
  <c r="D191" i="152"/>
  <c r="D79" i="152"/>
  <c r="D135" i="152"/>
  <c r="D23" i="152"/>
  <c r="D101" i="144"/>
  <c r="D157" i="144"/>
  <c r="D45" i="144"/>
  <c r="D213" i="144"/>
  <c r="C150" i="134"/>
  <c r="E70" i="147"/>
  <c r="E72" i="147" s="1"/>
  <c r="F123" i="147"/>
  <c r="F145" i="138"/>
  <c r="F134" i="134"/>
  <c r="G51" i="138"/>
  <c r="G64" i="137"/>
  <c r="H28" i="137"/>
  <c r="E53" i="147"/>
  <c r="E57" i="147"/>
  <c r="E226" i="134"/>
  <c r="E58" i="147"/>
  <c r="E61" i="147"/>
  <c r="F51" i="147"/>
  <c r="F68" i="138"/>
  <c r="F56" i="134"/>
  <c r="F146" i="134"/>
  <c r="E68" i="134"/>
  <c r="F124" i="147"/>
  <c r="F146" i="138"/>
  <c r="F135" i="134"/>
  <c r="E117" i="147"/>
  <c r="E139" i="138"/>
  <c r="E148" i="138" s="1"/>
  <c r="E136" i="138"/>
  <c r="E153" i="138"/>
  <c r="E128" i="134"/>
  <c r="E133" i="147"/>
  <c r="E144" i="134"/>
  <c r="E132" i="147"/>
  <c r="D126" i="147"/>
  <c r="D143" i="147"/>
  <c r="D145" i="147" s="1"/>
  <c r="D129" i="147"/>
  <c r="F49" i="147"/>
  <c r="F66" i="138"/>
  <c r="F54" i="134"/>
  <c r="F129" i="134"/>
  <c r="F118" i="147"/>
  <c r="F140" i="138"/>
  <c r="F119" i="147"/>
  <c r="F141" i="138"/>
  <c r="F130" i="134"/>
  <c r="E143" i="134"/>
  <c r="E131" i="147"/>
  <c r="F134" i="147"/>
  <c r="E135" i="147"/>
  <c r="E60" i="147"/>
  <c r="E145" i="134"/>
  <c r="D202" i="147"/>
  <c r="D141" i="134"/>
  <c r="D137" i="134"/>
  <c r="D155" i="134"/>
  <c r="D157" i="134" s="1"/>
  <c r="G92" i="137"/>
  <c r="G211" i="138"/>
  <c r="H56" i="137"/>
  <c r="E69" i="134"/>
  <c r="F196" i="147"/>
  <c r="F223" i="138"/>
  <c r="F213" i="134"/>
  <c r="E63" i="147"/>
  <c r="E59" i="147"/>
  <c r="G129" i="138"/>
  <c r="G76" i="137"/>
  <c r="H40" i="137"/>
  <c r="F46" i="147"/>
  <c r="F63" i="138"/>
  <c r="F51" i="134"/>
  <c r="E142" i="134"/>
  <c r="F50" i="147"/>
  <c r="F67" i="138"/>
  <c r="F55" i="134"/>
  <c r="E190" i="147"/>
  <c r="E217" i="138"/>
  <c r="E207" i="134"/>
  <c r="E208" i="147"/>
  <c r="G133" i="138"/>
  <c r="G80" i="137"/>
  <c r="H44" i="137"/>
  <c r="G131" i="138"/>
  <c r="H42" i="137"/>
  <c r="G78" i="137"/>
  <c r="E147" i="134"/>
  <c r="G209" i="138"/>
  <c r="G90" i="137"/>
  <c r="H54" i="137"/>
  <c r="E66" i="134"/>
  <c r="H45" i="137"/>
  <c r="G81" i="137"/>
  <c r="G134" i="138"/>
  <c r="E62" i="147"/>
  <c r="E148" i="134"/>
  <c r="F74" i="137"/>
  <c r="F127" i="138"/>
  <c r="G38" i="137"/>
  <c r="E136" i="147"/>
  <c r="G54" i="138"/>
  <c r="G67" i="137"/>
  <c r="H31" i="137"/>
  <c r="F205" i="147"/>
  <c r="D220" i="134"/>
  <c r="G128" i="138"/>
  <c r="H39" i="137"/>
  <c r="G75" i="137"/>
  <c r="H32" i="137"/>
  <c r="G55" i="138"/>
  <c r="G68" i="137"/>
  <c r="E64" i="134"/>
  <c r="G69" i="137"/>
  <c r="G56" i="138"/>
  <c r="H33" i="137"/>
  <c r="E130" i="147"/>
  <c r="G50" i="137"/>
  <c r="F86" i="137"/>
  <c r="F205" i="138"/>
  <c r="F56" i="147"/>
  <c r="E222" i="138" l="1"/>
  <c r="E212" i="134"/>
  <c r="E225" i="134" s="1"/>
  <c r="E156" i="144" s="1"/>
  <c r="F142" i="138"/>
  <c r="F131" i="134"/>
  <c r="F144" i="134" s="1"/>
  <c r="G77" i="137"/>
  <c r="F210" i="138"/>
  <c r="F212" i="134" s="1"/>
  <c r="F225" i="134" s="1"/>
  <c r="G144" i="138"/>
  <c r="G122" i="147"/>
  <c r="G134" i="147" s="1"/>
  <c r="G130" i="138"/>
  <c r="G120" i="147" s="1"/>
  <c r="G55" i="137"/>
  <c r="G91" i="137" s="1"/>
  <c r="H132" i="138"/>
  <c r="H144" i="138" s="1"/>
  <c r="H79" i="137"/>
  <c r="F82" i="137"/>
  <c r="E194" i="152"/>
  <c r="E82" i="152"/>
  <c r="E138" i="152"/>
  <c r="F132" i="134"/>
  <c r="F145" i="134" s="1"/>
  <c r="F143" i="138"/>
  <c r="D62" i="144"/>
  <c r="D6" i="144"/>
  <c r="D174" i="144"/>
  <c r="E138" i="144"/>
  <c r="E26" i="144"/>
  <c r="E194" i="144"/>
  <c r="D70" i="138"/>
  <c r="C179" i="152"/>
  <c r="F34" i="137"/>
  <c r="C11" i="152"/>
  <c r="C67" i="152"/>
  <c r="E70" i="138"/>
  <c r="C123" i="152"/>
  <c r="D64" i="144"/>
  <c r="D176" i="144"/>
  <c r="D120" i="144"/>
  <c r="E58" i="134"/>
  <c r="F47" i="147"/>
  <c r="F59" i="147" s="1"/>
  <c r="F65" i="137"/>
  <c r="F70" i="137" s="1"/>
  <c r="F52" i="134"/>
  <c r="F65" i="134" s="1"/>
  <c r="D174" i="152"/>
  <c r="G29" i="137"/>
  <c r="H29" i="137" s="1"/>
  <c r="I29" i="137" s="1"/>
  <c r="D6" i="152"/>
  <c r="D62" i="152"/>
  <c r="C118" i="144"/>
  <c r="C123" i="144" s="1"/>
  <c r="C6" i="144"/>
  <c r="C11" i="144" s="1"/>
  <c r="C174" i="144"/>
  <c r="C179" i="144" s="1"/>
  <c r="F58" i="137"/>
  <c r="F87" i="137"/>
  <c r="F94" i="137" s="1"/>
  <c r="C62" i="144"/>
  <c r="C67" i="144" s="1"/>
  <c r="C103" i="144"/>
  <c r="G51" i="137"/>
  <c r="G87" i="137" s="1"/>
  <c r="E208" i="134"/>
  <c r="E221" i="134" s="1"/>
  <c r="E208" i="144" s="1"/>
  <c r="D76" i="134"/>
  <c r="D78" i="134" s="1"/>
  <c r="C47" i="144"/>
  <c r="C159" i="144"/>
  <c r="F218" i="138"/>
  <c r="E218" i="138"/>
  <c r="F208" i="134"/>
  <c r="F221" i="134" s="1"/>
  <c r="E214" i="138"/>
  <c r="C215" i="144"/>
  <c r="D71" i="134"/>
  <c r="D58" i="134"/>
  <c r="G53" i="138"/>
  <c r="G48" i="147" s="1"/>
  <c r="G66" i="137"/>
  <c r="D119" i="144"/>
  <c r="F58" i="138"/>
  <c r="D175" i="144"/>
  <c r="D211" i="144"/>
  <c r="D63" i="144"/>
  <c r="F211" i="134"/>
  <c r="F224" i="134" s="1"/>
  <c r="F53" i="134"/>
  <c r="F66" i="134" s="1"/>
  <c r="D155" i="144"/>
  <c r="F209" i="134"/>
  <c r="F222" i="134" s="1"/>
  <c r="F192" i="147"/>
  <c r="F204" i="147" s="1"/>
  <c r="F65" i="138"/>
  <c r="D99" i="144"/>
  <c r="F221" i="138"/>
  <c r="G208" i="138"/>
  <c r="G220" i="138" s="1"/>
  <c r="H53" i="137"/>
  <c r="H208" i="138" s="1"/>
  <c r="H193" i="147" s="1"/>
  <c r="E209" i="134"/>
  <c r="E222" i="134" s="1"/>
  <c r="E209" i="144" s="1"/>
  <c r="E231" i="138"/>
  <c r="E219" i="138"/>
  <c r="D102" i="144"/>
  <c r="D158" i="144"/>
  <c r="H52" i="137"/>
  <c r="I52" i="137" s="1"/>
  <c r="G88" i="137"/>
  <c r="D46" i="152"/>
  <c r="D158" i="152"/>
  <c r="D216" i="147"/>
  <c r="D218" i="147" s="1"/>
  <c r="D199" i="147"/>
  <c r="E210" i="144"/>
  <c r="E154" i="144"/>
  <c r="E98" i="144"/>
  <c r="D102" i="152"/>
  <c r="D214" i="144"/>
  <c r="D7" i="152"/>
  <c r="D70" i="147"/>
  <c r="D72" i="147" s="1"/>
  <c r="E42" i="152"/>
  <c r="E98" i="152"/>
  <c r="D63" i="152"/>
  <c r="D234" i="134"/>
  <c r="D236" i="134" s="1"/>
  <c r="E154" i="152"/>
  <c r="D53" i="147"/>
  <c r="D216" i="134"/>
  <c r="E214" i="134"/>
  <c r="E227" i="134" s="1"/>
  <c r="E46" i="144" s="1"/>
  <c r="E197" i="147"/>
  <c r="E209" i="147" s="1"/>
  <c r="E214" i="152" s="1"/>
  <c r="E224" i="138"/>
  <c r="G57" i="137"/>
  <c r="F212" i="138"/>
  <c r="F93" i="137"/>
  <c r="D119" i="152"/>
  <c r="G63" i="137"/>
  <c r="D172" i="144"/>
  <c r="D116" i="144"/>
  <c r="E63" i="134"/>
  <c r="E71" i="134" s="1"/>
  <c r="E76" i="134"/>
  <c r="E78" i="134" s="1"/>
  <c r="D4" i="144"/>
  <c r="H27" i="137"/>
  <c r="G50" i="138"/>
  <c r="G45" i="147" s="1"/>
  <c r="D60" i="144"/>
  <c r="F62" i="138"/>
  <c r="F50" i="134"/>
  <c r="F45" i="147"/>
  <c r="F75" i="138"/>
  <c r="D65" i="147"/>
  <c r="G49" i="134"/>
  <c r="G62" i="134" s="1"/>
  <c r="H62" i="137"/>
  <c r="G61" i="138"/>
  <c r="D116" i="152"/>
  <c r="H49" i="138"/>
  <c r="H44" i="147" s="1"/>
  <c r="D172" i="152"/>
  <c r="D4" i="152"/>
  <c r="E191" i="144"/>
  <c r="E135" i="144"/>
  <c r="E79" i="144"/>
  <c r="E23" i="144"/>
  <c r="E155" i="152"/>
  <c r="E43" i="152"/>
  <c r="E211" i="152"/>
  <c r="E99" i="152"/>
  <c r="F194" i="144"/>
  <c r="F26" i="144"/>
  <c r="F138" i="144"/>
  <c r="F82" i="144"/>
  <c r="E99" i="144"/>
  <c r="E155" i="144"/>
  <c r="E211" i="144"/>
  <c r="E43" i="144"/>
  <c r="E45" i="152"/>
  <c r="E101" i="152"/>
  <c r="E157" i="152"/>
  <c r="E213" i="152"/>
  <c r="E193" i="152"/>
  <c r="E137" i="152"/>
  <c r="E81" i="152"/>
  <c r="E25" i="152"/>
  <c r="F98" i="152"/>
  <c r="F210" i="152"/>
  <c r="F42" i="152"/>
  <c r="F154" i="152"/>
  <c r="E175" i="144"/>
  <c r="E7" i="144"/>
  <c r="E63" i="144"/>
  <c r="E119" i="144"/>
  <c r="E139" i="144"/>
  <c r="E195" i="144"/>
  <c r="E83" i="144"/>
  <c r="E27" i="144"/>
  <c r="F210" i="144"/>
  <c r="F98" i="144"/>
  <c r="F154" i="144"/>
  <c r="F42" i="144"/>
  <c r="E175" i="152"/>
  <c r="E119" i="152"/>
  <c r="E63" i="152"/>
  <c r="E7" i="152"/>
  <c r="E27" i="152"/>
  <c r="E83" i="152"/>
  <c r="E195" i="152"/>
  <c r="E139" i="152"/>
  <c r="E44" i="152"/>
  <c r="E212" i="152"/>
  <c r="E100" i="152"/>
  <c r="E156" i="152"/>
  <c r="E28" i="152"/>
  <c r="E140" i="152"/>
  <c r="E196" i="152"/>
  <c r="E84" i="152"/>
  <c r="E118" i="152"/>
  <c r="E6" i="152"/>
  <c r="E174" i="152"/>
  <c r="E62" i="152"/>
  <c r="E10" i="152"/>
  <c r="E66" i="152"/>
  <c r="E122" i="152"/>
  <c r="E178" i="152"/>
  <c r="E61" i="152"/>
  <c r="E173" i="152"/>
  <c r="E5" i="152"/>
  <c r="E117" i="152"/>
  <c r="E213" i="144"/>
  <c r="E101" i="144"/>
  <c r="E157" i="144"/>
  <c r="E45" i="144"/>
  <c r="D138" i="147"/>
  <c r="D77" i="152"/>
  <c r="D85" i="152" s="1"/>
  <c r="D21" i="152"/>
  <c r="D29" i="152" s="1"/>
  <c r="D133" i="152"/>
  <c r="D141" i="152" s="1"/>
  <c r="D189" i="152"/>
  <c r="D197" i="152" s="1"/>
  <c r="F59" i="144"/>
  <c r="F3" i="144"/>
  <c r="F115" i="144"/>
  <c r="F171" i="144"/>
  <c r="E174" i="144"/>
  <c r="E6" i="144"/>
  <c r="E62" i="144"/>
  <c r="E118" i="144"/>
  <c r="E190" i="144"/>
  <c r="E134" i="144"/>
  <c r="E78" i="144"/>
  <c r="E22" i="144"/>
  <c r="F194" i="152"/>
  <c r="F138" i="152"/>
  <c r="F82" i="152"/>
  <c r="F26" i="152"/>
  <c r="D229" i="134"/>
  <c r="D39" i="144"/>
  <c r="D47" i="144" s="1"/>
  <c r="D95" i="144"/>
  <c r="D207" i="144"/>
  <c r="D151" i="144"/>
  <c r="E9" i="152"/>
  <c r="E121" i="152"/>
  <c r="E177" i="152"/>
  <c r="E65" i="152"/>
  <c r="E134" i="152"/>
  <c r="E190" i="152"/>
  <c r="E22" i="152"/>
  <c r="E78" i="152"/>
  <c r="D211" i="147"/>
  <c r="D207" i="152"/>
  <c r="D215" i="152" s="1"/>
  <c r="D39" i="152"/>
  <c r="D95" i="152"/>
  <c r="D151" i="152"/>
  <c r="E8" i="152"/>
  <c r="E176" i="152"/>
  <c r="E120" i="152"/>
  <c r="E64" i="152"/>
  <c r="E61" i="144"/>
  <c r="E173" i="144"/>
  <c r="E117" i="144"/>
  <c r="E5" i="144"/>
  <c r="E116" i="152"/>
  <c r="E60" i="152"/>
  <c r="E4" i="152"/>
  <c r="E172" i="152"/>
  <c r="E25" i="144"/>
  <c r="E81" i="144"/>
  <c r="E193" i="144"/>
  <c r="E137" i="144"/>
  <c r="F171" i="152"/>
  <c r="F115" i="152"/>
  <c r="F59" i="152"/>
  <c r="F3" i="152"/>
  <c r="D133" i="144"/>
  <c r="D141" i="144" s="1"/>
  <c r="D189" i="144"/>
  <c r="D197" i="144" s="1"/>
  <c r="D77" i="144"/>
  <c r="D85" i="144" s="1"/>
  <c r="D21" i="144"/>
  <c r="D29" i="144" s="1"/>
  <c r="E191" i="152"/>
  <c r="E79" i="152"/>
  <c r="E135" i="152"/>
  <c r="E23" i="152"/>
  <c r="E24" i="152"/>
  <c r="E192" i="152"/>
  <c r="E136" i="152"/>
  <c r="E80" i="152"/>
  <c r="E65" i="144"/>
  <c r="E9" i="144"/>
  <c r="E177" i="144"/>
  <c r="E121" i="144"/>
  <c r="E192" i="144"/>
  <c r="E24" i="144"/>
  <c r="E136" i="144"/>
  <c r="E80" i="144"/>
  <c r="E66" i="144"/>
  <c r="E10" i="144"/>
  <c r="E178" i="144"/>
  <c r="E122" i="144"/>
  <c r="E8" i="144"/>
  <c r="E64" i="144"/>
  <c r="E120" i="144"/>
  <c r="E176" i="144"/>
  <c r="E153" i="152"/>
  <c r="E97" i="152"/>
  <c r="E209" i="152"/>
  <c r="E41" i="152"/>
  <c r="E196" i="144"/>
  <c r="E140" i="144"/>
  <c r="E28" i="144"/>
  <c r="E84" i="144"/>
  <c r="E152" i="152"/>
  <c r="E208" i="152"/>
  <c r="E96" i="152"/>
  <c r="E40" i="152"/>
  <c r="D150" i="134"/>
  <c r="E65" i="147"/>
  <c r="F148" i="134"/>
  <c r="E220" i="134"/>
  <c r="I42" i="137"/>
  <c r="H131" i="138"/>
  <c r="H78" i="137"/>
  <c r="I45" i="137"/>
  <c r="H134" i="138"/>
  <c r="H81" i="137"/>
  <c r="I28" i="137"/>
  <c r="H51" i="138"/>
  <c r="H64" i="137"/>
  <c r="G205" i="138"/>
  <c r="H50" i="137"/>
  <c r="G86" i="137"/>
  <c r="H67" i="137"/>
  <c r="I31" i="137"/>
  <c r="H54" i="138"/>
  <c r="G127" i="138"/>
  <c r="G74" i="137"/>
  <c r="H38" i="137"/>
  <c r="I39" i="137"/>
  <c r="H75" i="137"/>
  <c r="H128" i="138"/>
  <c r="F153" i="138"/>
  <c r="F128" i="134"/>
  <c r="F117" i="147"/>
  <c r="F136" i="138"/>
  <c r="F139" i="138"/>
  <c r="F64" i="134"/>
  <c r="H130" i="138"/>
  <c r="I41" i="137"/>
  <c r="H77" i="137"/>
  <c r="E129" i="147"/>
  <c r="E126" i="147"/>
  <c r="E143" i="147"/>
  <c r="E145" i="147" s="1"/>
  <c r="F63" i="147"/>
  <c r="G51" i="134"/>
  <c r="G46" i="147"/>
  <c r="G63" i="138"/>
  <c r="F130" i="147"/>
  <c r="F136" i="147"/>
  <c r="F68" i="134"/>
  <c r="E155" i="134"/>
  <c r="E157" i="134" s="1"/>
  <c r="E141" i="134"/>
  <c r="E137" i="134"/>
  <c r="G196" i="147"/>
  <c r="G223" i="138"/>
  <c r="G213" i="134"/>
  <c r="F58" i="147"/>
  <c r="F203" i="147"/>
  <c r="G121" i="147"/>
  <c r="G143" i="138"/>
  <c r="G132" i="134"/>
  <c r="G192" i="147"/>
  <c r="G219" i="138"/>
  <c r="G209" i="134"/>
  <c r="G194" i="147"/>
  <c r="G221" i="138"/>
  <c r="G211" i="134"/>
  <c r="I40" i="137"/>
  <c r="H129" i="138"/>
  <c r="H76" i="137"/>
  <c r="F60" i="147"/>
  <c r="F67" i="134"/>
  <c r="I33" i="137"/>
  <c r="H69" i="137"/>
  <c r="H56" i="138"/>
  <c r="F143" i="134"/>
  <c r="F132" i="147"/>
  <c r="G146" i="134"/>
  <c r="F147" i="134"/>
  <c r="F142" i="134"/>
  <c r="F226" i="134"/>
  <c r="E202" i="147"/>
  <c r="H211" i="138"/>
  <c r="H92" i="137"/>
  <c r="I56" i="137"/>
  <c r="G123" i="147"/>
  <c r="G145" i="138"/>
  <c r="G134" i="134"/>
  <c r="G51" i="147"/>
  <c r="G68" i="138"/>
  <c r="G56" i="134"/>
  <c r="H66" i="137"/>
  <c r="I30" i="137"/>
  <c r="H53" i="138"/>
  <c r="G119" i="147"/>
  <c r="G141" i="138"/>
  <c r="G130" i="134"/>
  <c r="F133" i="147"/>
  <c r="G50" i="147"/>
  <c r="G67" i="138"/>
  <c r="G55" i="134"/>
  <c r="F61" i="147"/>
  <c r="H68" i="137"/>
  <c r="H55" i="138"/>
  <c r="I32" i="137"/>
  <c r="F206" i="147"/>
  <c r="F208" i="147"/>
  <c r="F190" i="147"/>
  <c r="F207" i="134"/>
  <c r="F217" i="138"/>
  <c r="G124" i="147"/>
  <c r="G146" i="138"/>
  <c r="G135" i="134"/>
  <c r="H133" i="138"/>
  <c r="H80" i="137"/>
  <c r="I44" i="137"/>
  <c r="F62" i="147"/>
  <c r="F69" i="134"/>
  <c r="G118" i="147"/>
  <c r="G140" i="138"/>
  <c r="G129" i="134"/>
  <c r="G49" i="147"/>
  <c r="G66" i="138"/>
  <c r="G54" i="134"/>
  <c r="H209" i="138"/>
  <c r="H90" i="137"/>
  <c r="I54" i="137"/>
  <c r="I132" i="138"/>
  <c r="J43" i="137"/>
  <c r="I79" i="137"/>
  <c r="F131" i="147"/>
  <c r="F135" i="147"/>
  <c r="G56" i="147"/>
  <c r="J26" i="137"/>
  <c r="I62" i="137"/>
  <c r="I49" i="138"/>
  <c r="E212" i="144" l="1"/>
  <c r="E44" i="144"/>
  <c r="E100" i="144"/>
  <c r="F222" i="138"/>
  <c r="F226" i="138" s="1"/>
  <c r="G82" i="137"/>
  <c r="F214" i="138"/>
  <c r="F231" i="138"/>
  <c r="G210" i="138"/>
  <c r="G212" i="134" s="1"/>
  <c r="G225" i="134" s="1"/>
  <c r="F195" i="147"/>
  <c r="F207" i="147" s="1"/>
  <c r="F212" i="152" s="1"/>
  <c r="G131" i="134"/>
  <c r="G144" i="134" s="1"/>
  <c r="G142" i="138"/>
  <c r="H55" i="137"/>
  <c r="H210" i="138" s="1"/>
  <c r="H212" i="134" s="1"/>
  <c r="H122" i="147"/>
  <c r="H134" i="147" s="1"/>
  <c r="H133" i="134"/>
  <c r="H146" i="134" s="1"/>
  <c r="D11" i="144"/>
  <c r="F148" i="138"/>
  <c r="F70" i="147"/>
  <c r="F72" i="147" s="1"/>
  <c r="D67" i="152"/>
  <c r="G34" i="137"/>
  <c r="H65" i="137"/>
  <c r="H34" i="137"/>
  <c r="H52" i="138"/>
  <c r="H52" i="134" s="1"/>
  <c r="G52" i="138"/>
  <c r="G47" i="147" s="1"/>
  <c r="G59" i="147" s="1"/>
  <c r="D179" i="152"/>
  <c r="G58" i="137"/>
  <c r="G65" i="137"/>
  <c r="G70" i="137" s="1"/>
  <c r="E96" i="144"/>
  <c r="G193" i="147"/>
  <c r="G205" i="147" s="1"/>
  <c r="G210" i="152" s="1"/>
  <c r="H51" i="137"/>
  <c r="H87" i="137" s="1"/>
  <c r="G206" i="138"/>
  <c r="G191" i="147" s="1"/>
  <c r="G203" i="147" s="1"/>
  <c r="G210" i="134"/>
  <c r="G223" i="134" s="1"/>
  <c r="G210" i="144" s="1"/>
  <c r="E226" i="138"/>
  <c r="D123" i="144"/>
  <c r="G65" i="138"/>
  <c r="D159" i="144"/>
  <c r="G53" i="134"/>
  <c r="G66" i="134" s="1"/>
  <c r="E152" i="144"/>
  <c r="E40" i="144"/>
  <c r="D67" i="144"/>
  <c r="E102" i="144"/>
  <c r="F76" i="134"/>
  <c r="F78" i="134" s="1"/>
  <c r="E214" i="144"/>
  <c r="E158" i="144"/>
  <c r="D159" i="152"/>
  <c r="D47" i="152"/>
  <c r="G94" i="137"/>
  <c r="H88" i="137"/>
  <c r="E216" i="147"/>
  <c r="E218" i="147" s="1"/>
  <c r="H207" i="138"/>
  <c r="H219" i="138" s="1"/>
  <c r="F70" i="138"/>
  <c r="D179" i="144"/>
  <c r="E97" i="144"/>
  <c r="E41" i="144"/>
  <c r="H210" i="134"/>
  <c r="H223" i="134" s="1"/>
  <c r="D103" i="144"/>
  <c r="E199" i="147"/>
  <c r="H220" i="138"/>
  <c r="I53" i="137"/>
  <c r="I208" i="138" s="1"/>
  <c r="I193" i="147" s="1"/>
  <c r="E153" i="144"/>
  <c r="H89" i="137"/>
  <c r="D215" i="144"/>
  <c r="D103" i="152"/>
  <c r="D11" i="152"/>
  <c r="F214" i="134"/>
  <c r="F227" i="134" s="1"/>
  <c r="F46" i="144" s="1"/>
  <c r="F197" i="147"/>
  <c r="F209" i="147" s="1"/>
  <c r="F46" i="152" s="1"/>
  <c r="F224" i="138"/>
  <c r="E216" i="134"/>
  <c r="E102" i="152"/>
  <c r="E46" i="152"/>
  <c r="D123" i="152"/>
  <c r="E158" i="152"/>
  <c r="E234" i="134"/>
  <c r="E236" i="134" s="1"/>
  <c r="G212" i="138"/>
  <c r="G93" i="137"/>
  <c r="H57" i="137"/>
  <c r="F63" i="134"/>
  <c r="F60" i="144" s="1"/>
  <c r="F58" i="134"/>
  <c r="E4" i="144"/>
  <c r="E11" i="144" s="1"/>
  <c r="F57" i="147"/>
  <c r="F65" i="147" s="1"/>
  <c r="H50" i="138"/>
  <c r="E172" i="144"/>
  <c r="E179" i="144" s="1"/>
  <c r="I27" i="137"/>
  <c r="I50" i="138" s="1"/>
  <c r="H63" i="137"/>
  <c r="E60" i="144"/>
  <c r="E67" i="144" s="1"/>
  <c r="F53" i="147"/>
  <c r="E116" i="144"/>
  <c r="E123" i="144" s="1"/>
  <c r="G62" i="138"/>
  <c r="G50" i="134"/>
  <c r="G63" i="134" s="1"/>
  <c r="H61" i="138"/>
  <c r="H49" i="134"/>
  <c r="H62" i="134" s="1"/>
  <c r="F99" i="144"/>
  <c r="F211" i="144"/>
  <c r="F43" i="144"/>
  <c r="F155" i="144"/>
  <c r="E229" i="134"/>
  <c r="E39" i="144"/>
  <c r="E95" i="144"/>
  <c r="E207" i="144"/>
  <c r="E151" i="144"/>
  <c r="F61" i="144"/>
  <c r="F173" i="144"/>
  <c r="F117" i="144"/>
  <c r="F5" i="144"/>
  <c r="F209" i="144"/>
  <c r="F41" i="144"/>
  <c r="F97" i="144"/>
  <c r="F153" i="144"/>
  <c r="E123" i="152"/>
  <c r="F81" i="152"/>
  <c r="F193" i="152"/>
  <c r="F137" i="152"/>
  <c r="F25" i="152"/>
  <c r="E11" i="152"/>
  <c r="F196" i="144"/>
  <c r="F140" i="144"/>
  <c r="F28" i="144"/>
  <c r="F84" i="144"/>
  <c r="E179" i="152"/>
  <c r="G59" i="144"/>
  <c r="G171" i="144"/>
  <c r="G3" i="144"/>
  <c r="G115" i="144"/>
  <c r="E67" i="152"/>
  <c r="G171" i="152"/>
  <c r="G115" i="152"/>
  <c r="G59" i="152"/>
  <c r="G3" i="152"/>
  <c r="F8" i="144"/>
  <c r="F64" i="144"/>
  <c r="F176" i="144"/>
  <c r="F120" i="144"/>
  <c r="E211" i="147"/>
  <c r="E39" i="152"/>
  <c r="E207" i="152"/>
  <c r="E215" i="152" s="1"/>
  <c r="E151" i="152"/>
  <c r="E95" i="152"/>
  <c r="F208" i="144"/>
  <c r="F40" i="144"/>
  <c r="F152" i="144"/>
  <c r="F96" i="144"/>
  <c r="F9" i="144"/>
  <c r="F65" i="144"/>
  <c r="F121" i="144"/>
  <c r="F177" i="144"/>
  <c r="F211" i="152"/>
  <c r="F155" i="152"/>
  <c r="F99" i="152"/>
  <c r="F43" i="152"/>
  <c r="F118" i="144"/>
  <c r="F174" i="144"/>
  <c r="F6" i="144"/>
  <c r="F62" i="144"/>
  <c r="F65" i="152"/>
  <c r="F177" i="152"/>
  <c r="F121" i="152"/>
  <c r="F9" i="152"/>
  <c r="F192" i="144"/>
  <c r="F24" i="144"/>
  <c r="F136" i="144"/>
  <c r="F80" i="144"/>
  <c r="E133" i="144"/>
  <c r="E141" i="144" s="1"/>
  <c r="E77" i="144"/>
  <c r="E85" i="144" s="1"/>
  <c r="E21" i="144"/>
  <c r="E29" i="144" s="1"/>
  <c r="E189" i="144"/>
  <c r="E197" i="144" s="1"/>
  <c r="F118" i="152"/>
  <c r="F62" i="152"/>
  <c r="F6" i="152"/>
  <c r="F174" i="152"/>
  <c r="F140" i="152"/>
  <c r="F28" i="152"/>
  <c r="F196" i="152"/>
  <c r="F84" i="152"/>
  <c r="G138" i="152"/>
  <c r="G26" i="152"/>
  <c r="G82" i="152"/>
  <c r="G194" i="152"/>
  <c r="F134" i="144"/>
  <c r="F78" i="144"/>
  <c r="F22" i="144"/>
  <c r="F190" i="144"/>
  <c r="G194" i="144"/>
  <c r="G26" i="144"/>
  <c r="G82" i="144"/>
  <c r="G138" i="144"/>
  <c r="F40" i="152"/>
  <c r="F152" i="152"/>
  <c r="F208" i="152"/>
  <c r="F96" i="152"/>
  <c r="F66" i="144"/>
  <c r="F178" i="144"/>
  <c r="F10" i="144"/>
  <c r="F122" i="144"/>
  <c r="F175" i="144"/>
  <c r="F63" i="144"/>
  <c r="F119" i="144"/>
  <c r="F7" i="144"/>
  <c r="E138" i="147"/>
  <c r="E77" i="152"/>
  <c r="E85" i="152" s="1"/>
  <c r="E21" i="152"/>
  <c r="E29" i="152" s="1"/>
  <c r="E133" i="152"/>
  <c r="E141" i="152" s="1"/>
  <c r="E189" i="152"/>
  <c r="E197" i="152" s="1"/>
  <c r="F176" i="152"/>
  <c r="F120" i="152"/>
  <c r="F64" i="152"/>
  <c r="F8" i="152"/>
  <c r="F41" i="152"/>
  <c r="F209" i="152"/>
  <c r="F153" i="152"/>
  <c r="F97" i="152"/>
  <c r="F83" i="152"/>
  <c r="F27" i="152"/>
  <c r="F195" i="152"/>
  <c r="F139" i="152"/>
  <c r="F63" i="152"/>
  <c r="F7" i="152"/>
  <c r="F119" i="152"/>
  <c r="F175" i="152"/>
  <c r="F190" i="152"/>
  <c r="F78" i="152"/>
  <c r="F22" i="152"/>
  <c r="F134" i="152"/>
  <c r="F191" i="152"/>
  <c r="F135" i="152"/>
  <c r="F79" i="152"/>
  <c r="F23" i="152"/>
  <c r="F195" i="144"/>
  <c r="F83" i="144"/>
  <c r="F139" i="144"/>
  <c r="F27" i="144"/>
  <c r="F80" i="152"/>
  <c r="F24" i="152"/>
  <c r="F136" i="152"/>
  <c r="F192" i="152"/>
  <c r="F100" i="144"/>
  <c r="F156" i="144"/>
  <c r="F44" i="144"/>
  <c r="F212" i="144"/>
  <c r="F173" i="152"/>
  <c r="F117" i="152"/>
  <c r="F5" i="152"/>
  <c r="F61" i="152"/>
  <c r="F213" i="144"/>
  <c r="F101" i="144"/>
  <c r="F45" i="144"/>
  <c r="F157" i="144"/>
  <c r="F81" i="144"/>
  <c r="F25" i="144"/>
  <c r="F137" i="144"/>
  <c r="F193" i="144"/>
  <c r="F45" i="152"/>
  <c r="F101" i="152"/>
  <c r="F213" i="152"/>
  <c r="F157" i="152"/>
  <c r="F191" i="144"/>
  <c r="F79" i="144"/>
  <c r="F135" i="144"/>
  <c r="F23" i="144"/>
  <c r="F10" i="152"/>
  <c r="F66" i="152"/>
  <c r="F178" i="152"/>
  <c r="F122" i="152"/>
  <c r="E150" i="134"/>
  <c r="F220" i="134"/>
  <c r="F202" i="147"/>
  <c r="I54" i="138"/>
  <c r="I67" i="137"/>
  <c r="J31" i="137"/>
  <c r="H205" i="147"/>
  <c r="I75" i="137"/>
  <c r="I128" i="138"/>
  <c r="J39" i="137"/>
  <c r="H51" i="134"/>
  <c r="H46" i="147"/>
  <c r="H63" i="138"/>
  <c r="H196" i="147"/>
  <c r="H223" i="138"/>
  <c r="H213" i="134"/>
  <c r="G208" i="147"/>
  <c r="H124" i="147"/>
  <c r="H146" i="138"/>
  <c r="H135" i="134"/>
  <c r="H194" i="147"/>
  <c r="H211" i="134"/>
  <c r="H221" i="138"/>
  <c r="G136" i="147"/>
  <c r="G143" i="134"/>
  <c r="G60" i="147"/>
  <c r="G206" i="147"/>
  <c r="J45" i="137"/>
  <c r="I134" i="138"/>
  <c r="I81" i="137"/>
  <c r="G64" i="134"/>
  <c r="H123" i="147"/>
  <c r="H145" i="138"/>
  <c r="H134" i="134"/>
  <c r="G224" i="134"/>
  <c r="H55" i="134"/>
  <c r="H67" i="138"/>
  <c r="H50" i="147"/>
  <c r="G131" i="147"/>
  <c r="G132" i="147"/>
  <c r="G62" i="147"/>
  <c r="I50" i="137"/>
  <c r="H205" i="138"/>
  <c r="H86" i="137"/>
  <c r="G135" i="147"/>
  <c r="G207" i="134"/>
  <c r="G217" i="138"/>
  <c r="G190" i="147"/>
  <c r="I51" i="138"/>
  <c r="J28" i="137"/>
  <c r="I64" i="137"/>
  <c r="H68" i="138"/>
  <c r="H56" i="134"/>
  <c r="H51" i="147"/>
  <c r="G61" i="147"/>
  <c r="J52" i="137"/>
  <c r="I207" i="138"/>
  <c r="I88" i="137"/>
  <c r="I69" i="137"/>
  <c r="I56" i="138"/>
  <c r="J33" i="137"/>
  <c r="I130" i="138"/>
  <c r="I77" i="137"/>
  <c r="J41" i="137"/>
  <c r="G68" i="134"/>
  <c r="H54" i="134"/>
  <c r="H49" i="147"/>
  <c r="H66" i="138"/>
  <c r="J132" i="138"/>
  <c r="J79" i="137"/>
  <c r="K43" i="137"/>
  <c r="F129" i="147"/>
  <c r="F143" i="147"/>
  <c r="F145" i="147" s="1"/>
  <c r="F126" i="147"/>
  <c r="F141" i="134"/>
  <c r="F137" i="134"/>
  <c r="F155" i="134"/>
  <c r="F157" i="134" s="1"/>
  <c r="G147" i="134"/>
  <c r="H129" i="134"/>
  <c r="H140" i="138"/>
  <c r="H118" i="147"/>
  <c r="G145" i="134"/>
  <c r="G58" i="147"/>
  <c r="G133" i="147"/>
  <c r="J40" i="137"/>
  <c r="I76" i="137"/>
  <c r="I129" i="138"/>
  <c r="G148" i="134"/>
  <c r="G142" i="134"/>
  <c r="G222" i="134"/>
  <c r="H120" i="147"/>
  <c r="H142" i="138"/>
  <c r="H131" i="134"/>
  <c r="G128" i="134"/>
  <c r="G136" i="138"/>
  <c r="G153" i="138"/>
  <c r="G117" i="147"/>
  <c r="G139" i="138"/>
  <c r="G57" i="147"/>
  <c r="I211" i="138"/>
  <c r="I92" i="137"/>
  <c r="J56" i="137"/>
  <c r="H119" i="147"/>
  <c r="H130" i="134"/>
  <c r="H141" i="138"/>
  <c r="I68" i="137"/>
  <c r="J32" i="137"/>
  <c r="I55" i="138"/>
  <c r="J29" i="137"/>
  <c r="I52" i="138"/>
  <c r="I65" i="137"/>
  <c r="I38" i="137"/>
  <c r="H74" i="137"/>
  <c r="H82" i="137" s="1"/>
  <c r="H127" i="138"/>
  <c r="H121" i="147"/>
  <c r="H143" i="138"/>
  <c r="H132" i="134"/>
  <c r="J30" i="137"/>
  <c r="I53" i="138"/>
  <c r="I66" i="137"/>
  <c r="G69" i="134"/>
  <c r="I122" i="147"/>
  <c r="I144" i="138"/>
  <c r="I133" i="134"/>
  <c r="G63" i="147"/>
  <c r="I133" i="138"/>
  <c r="I80" i="137"/>
  <c r="J44" i="137"/>
  <c r="G226" i="134"/>
  <c r="I209" i="138"/>
  <c r="J54" i="137"/>
  <c r="I90" i="137"/>
  <c r="G67" i="134"/>
  <c r="G130" i="147"/>
  <c r="H48" i="147"/>
  <c r="H65" i="138"/>
  <c r="H53" i="134"/>
  <c r="G204" i="147"/>
  <c r="I131" i="138"/>
  <c r="I78" i="137"/>
  <c r="J42" i="137"/>
  <c r="H56" i="147"/>
  <c r="I44" i="147"/>
  <c r="I61" i="138"/>
  <c r="I49" i="134"/>
  <c r="K26" i="137"/>
  <c r="J62" i="137"/>
  <c r="J49" i="138"/>
  <c r="G148" i="138" l="1"/>
  <c r="F100" i="152"/>
  <c r="F156" i="152"/>
  <c r="F44" i="152"/>
  <c r="G222" i="138"/>
  <c r="G195" i="147"/>
  <c r="G207" i="147" s="1"/>
  <c r="G44" i="152" s="1"/>
  <c r="I55" i="137"/>
  <c r="I91" i="137" s="1"/>
  <c r="H195" i="147"/>
  <c r="H207" i="147" s="1"/>
  <c r="H91" i="137"/>
  <c r="H94" i="137" s="1"/>
  <c r="H222" i="138"/>
  <c r="H70" i="137"/>
  <c r="G53" i="147"/>
  <c r="G70" i="147"/>
  <c r="G72" i="147" s="1"/>
  <c r="H64" i="138"/>
  <c r="H47" i="147"/>
  <c r="H59" i="147" s="1"/>
  <c r="G58" i="138"/>
  <c r="G75" i="138"/>
  <c r="H58" i="138"/>
  <c r="G64" i="138"/>
  <c r="G70" i="138" s="1"/>
  <c r="G52" i="134"/>
  <c r="G65" i="134" s="1"/>
  <c r="G62" i="144" s="1"/>
  <c r="G231" i="138"/>
  <c r="G214" i="138"/>
  <c r="G154" i="152"/>
  <c r="G42" i="152"/>
  <c r="G98" i="152"/>
  <c r="H58" i="137"/>
  <c r="G208" i="134"/>
  <c r="G221" i="134" s="1"/>
  <c r="G40" i="144" s="1"/>
  <c r="G218" i="138"/>
  <c r="I51" i="137"/>
  <c r="I87" i="137" s="1"/>
  <c r="G154" i="144"/>
  <c r="G98" i="144"/>
  <c r="G42" i="144"/>
  <c r="H206" i="138"/>
  <c r="H191" i="147" s="1"/>
  <c r="H203" i="147" s="1"/>
  <c r="E215" i="144"/>
  <c r="H209" i="134"/>
  <c r="H222" i="134" s="1"/>
  <c r="H192" i="147"/>
  <c r="H204" i="147" s="1"/>
  <c r="E103" i="144"/>
  <c r="I220" i="138"/>
  <c r="F216" i="147"/>
  <c r="F218" i="147" s="1"/>
  <c r="F102" i="152"/>
  <c r="F216" i="134"/>
  <c r="I210" i="134"/>
  <c r="I223" i="134" s="1"/>
  <c r="F199" i="147"/>
  <c r="E47" i="144"/>
  <c r="J53" i="137"/>
  <c r="J89" i="137" s="1"/>
  <c r="I89" i="137"/>
  <c r="F214" i="152"/>
  <c r="F234" i="134"/>
  <c r="F236" i="134" s="1"/>
  <c r="E159" i="144"/>
  <c r="F158" i="152"/>
  <c r="F214" i="144"/>
  <c r="F102" i="144"/>
  <c r="F158" i="144"/>
  <c r="E159" i="152"/>
  <c r="G197" i="147"/>
  <c r="G209" i="147" s="1"/>
  <c r="G102" i="152" s="1"/>
  <c r="G224" i="138"/>
  <c r="G214" i="134"/>
  <c r="G227" i="134" s="1"/>
  <c r="G46" i="144" s="1"/>
  <c r="E103" i="152"/>
  <c r="H93" i="137"/>
  <c r="I57" i="137"/>
  <c r="H212" i="138"/>
  <c r="E47" i="152"/>
  <c r="F116" i="144"/>
  <c r="F123" i="144" s="1"/>
  <c r="F4" i="144"/>
  <c r="F11" i="144" s="1"/>
  <c r="F172" i="144"/>
  <c r="F179" i="144" s="1"/>
  <c r="F71" i="134"/>
  <c r="J27" i="137"/>
  <c r="J50" i="138" s="1"/>
  <c r="I63" i="137"/>
  <c r="I70" i="137" s="1"/>
  <c r="I34" i="137"/>
  <c r="F4" i="152"/>
  <c r="F11" i="152" s="1"/>
  <c r="H75" i="138"/>
  <c r="F60" i="152"/>
  <c r="F67" i="152" s="1"/>
  <c r="F116" i="152"/>
  <c r="F123" i="152" s="1"/>
  <c r="F172" i="152"/>
  <c r="F179" i="152" s="1"/>
  <c r="H62" i="138"/>
  <c r="H50" i="134"/>
  <c r="H76" i="134" s="1"/>
  <c r="H78" i="134" s="1"/>
  <c r="H45" i="147"/>
  <c r="H57" i="147" s="1"/>
  <c r="G193" i="152"/>
  <c r="G137" i="152"/>
  <c r="G81" i="152"/>
  <c r="G25" i="152"/>
  <c r="G173" i="152"/>
  <c r="G117" i="152"/>
  <c r="G5" i="152"/>
  <c r="G61" i="152"/>
  <c r="H59" i="144"/>
  <c r="H171" i="144"/>
  <c r="H3" i="144"/>
  <c r="H115" i="144"/>
  <c r="G137" i="144"/>
  <c r="G193" i="144"/>
  <c r="G81" i="144"/>
  <c r="G25" i="144"/>
  <c r="G65" i="144"/>
  <c r="G9" i="144"/>
  <c r="G121" i="144"/>
  <c r="G177" i="144"/>
  <c r="F211" i="147"/>
  <c r="F39" i="152"/>
  <c r="F207" i="152"/>
  <c r="F95" i="152"/>
  <c r="F151" i="152"/>
  <c r="G43" i="152"/>
  <c r="G155" i="152"/>
  <c r="G211" i="152"/>
  <c r="G99" i="152"/>
  <c r="G119" i="152"/>
  <c r="G63" i="152"/>
  <c r="G7" i="152"/>
  <c r="G175" i="152"/>
  <c r="F229" i="134"/>
  <c r="F39" i="144"/>
  <c r="F47" i="144" s="1"/>
  <c r="F151" i="144"/>
  <c r="F95" i="144"/>
  <c r="F207" i="144"/>
  <c r="G40" i="152"/>
  <c r="G152" i="152"/>
  <c r="G208" i="152"/>
  <c r="G96" i="152"/>
  <c r="G41" i="152"/>
  <c r="G209" i="152"/>
  <c r="G153" i="152"/>
  <c r="G97" i="152"/>
  <c r="G83" i="144"/>
  <c r="G139" i="144"/>
  <c r="G27" i="144"/>
  <c r="G195" i="144"/>
  <c r="G99" i="144"/>
  <c r="G211" i="144"/>
  <c r="G43" i="144"/>
  <c r="G155" i="144"/>
  <c r="G66" i="152"/>
  <c r="G178" i="152"/>
  <c r="G122" i="152"/>
  <c r="G10" i="152"/>
  <c r="F133" i="144"/>
  <c r="F141" i="144" s="1"/>
  <c r="F77" i="144"/>
  <c r="F85" i="144" s="1"/>
  <c r="F21" i="144"/>
  <c r="F29" i="144" s="1"/>
  <c r="F189" i="144"/>
  <c r="F197" i="144" s="1"/>
  <c r="G195" i="152"/>
  <c r="G139" i="152"/>
  <c r="G83" i="152"/>
  <c r="G27" i="152"/>
  <c r="G192" i="152"/>
  <c r="G80" i="152"/>
  <c r="G136" i="152"/>
  <c r="G24" i="152"/>
  <c r="G135" i="152"/>
  <c r="G79" i="152"/>
  <c r="G23" i="152"/>
  <c r="G191" i="152"/>
  <c r="G191" i="144"/>
  <c r="G135" i="144"/>
  <c r="G79" i="144"/>
  <c r="G23" i="144"/>
  <c r="G209" i="144"/>
  <c r="G41" i="144"/>
  <c r="G97" i="144"/>
  <c r="G153" i="144"/>
  <c r="H82" i="144"/>
  <c r="H194" i="144"/>
  <c r="H26" i="144"/>
  <c r="H138" i="144"/>
  <c r="G100" i="144"/>
  <c r="G156" i="144"/>
  <c r="G44" i="144"/>
  <c r="G212" i="144"/>
  <c r="H210" i="144"/>
  <c r="H154" i="144"/>
  <c r="H98" i="144"/>
  <c r="H42" i="144"/>
  <c r="G60" i="144"/>
  <c r="G172" i="144"/>
  <c r="G4" i="144"/>
  <c r="G116" i="144"/>
  <c r="G177" i="152"/>
  <c r="G121" i="152"/>
  <c r="G65" i="152"/>
  <c r="G9" i="152"/>
  <c r="G61" i="144"/>
  <c r="G5" i="144"/>
  <c r="G173" i="144"/>
  <c r="G117" i="144"/>
  <c r="G64" i="144"/>
  <c r="G8" i="144"/>
  <c r="G120" i="144"/>
  <c r="G176" i="144"/>
  <c r="G172" i="152"/>
  <c r="G116" i="152"/>
  <c r="G60" i="152"/>
  <c r="G4" i="152"/>
  <c r="G192" i="144"/>
  <c r="G136" i="144"/>
  <c r="G24" i="144"/>
  <c r="G80" i="144"/>
  <c r="H171" i="152"/>
  <c r="H115" i="152"/>
  <c r="H3" i="152"/>
  <c r="H59" i="152"/>
  <c r="G140" i="152"/>
  <c r="G28" i="152"/>
  <c r="G196" i="152"/>
  <c r="G84" i="152"/>
  <c r="G190" i="144"/>
  <c r="G22" i="144"/>
  <c r="G134" i="144"/>
  <c r="G78" i="144"/>
  <c r="G10" i="144"/>
  <c r="G66" i="144"/>
  <c r="G178" i="144"/>
  <c r="G122" i="144"/>
  <c r="F67" i="144"/>
  <c r="G62" i="152"/>
  <c r="G118" i="152"/>
  <c r="G6" i="152"/>
  <c r="G174" i="152"/>
  <c r="G175" i="144"/>
  <c r="G63" i="144"/>
  <c r="G7" i="144"/>
  <c r="G119" i="144"/>
  <c r="G157" i="144"/>
  <c r="G213" i="144"/>
  <c r="G101" i="144"/>
  <c r="G45" i="144"/>
  <c r="G190" i="152"/>
  <c r="G134" i="152"/>
  <c r="G78" i="152"/>
  <c r="G22" i="152"/>
  <c r="G213" i="152"/>
  <c r="G157" i="152"/>
  <c r="G45" i="152"/>
  <c r="G101" i="152"/>
  <c r="H138" i="152"/>
  <c r="H26" i="152"/>
  <c r="H82" i="152"/>
  <c r="H194" i="152"/>
  <c r="F138" i="147"/>
  <c r="F189" i="152"/>
  <c r="F197" i="152" s="1"/>
  <c r="F133" i="152"/>
  <c r="F141" i="152" s="1"/>
  <c r="F77" i="152"/>
  <c r="F85" i="152" s="1"/>
  <c r="F21" i="152"/>
  <c r="F29" i="152" s="1"/>
  <c r="H42" i="152"/>
  <c r="H98" i="152"/>
  <c r="H154" i="152"/>
  <c r="H210" i="152"/>
  <c r="G84" i="144"/>
  <c r="G28" i="144"/>
  <c r="G196" i="144"/>
  <c r="G140" i="144"/>
  <c r="G176" i="152"/>
  <c r="G120" i="152"/>
  <c r="G8" i="152"/>
  <c r="G64" i="152"/>
  <c r="F150" i="134"/>
  <c r="G65" i="147"/>
  <c r="H68" i="134"/>
  <c r="H130" i="147"/>
  <c r="H60" i="147"/>
  <c r="J133" i="138"/>
  <c r="J80" i="137"/>
  <c r="K44" i="137"/>
  <c r="H133" i="147"/>
  <c r="H142" i="134"/>
  <c r="I205" i="147"/>
  <c r="I54" i="134"/>
  <c r="I49" i="147"/>
  <c r="I66" i="138"/>
  <c r="K29" i="137"/>
  <c r="J65" i="137"/>
  <c r="J52" i="138"/>
  <c r="I119" i="147"/>
  <c r="I141" i="138"/>
  <c r="I130" i="134"/>
  <c r="K28" i="137"/>
  <c r="J51" i="138"/>
  <c r="J64" i="137"/>
  <c r="H135" i="147"/>
  <c r="H224" i="134"/>
  <c r="I146" i="134"/>
  <c r="G141" i="134"/>
  <c r="G137" i="134"/>
  <c r="G155" i="134"/>
  <c r="G157" i="134" s="1"/>
  <c r="I120" i="147"/>
  <c r="I142" i="138"/>
  <c r="I131" i="134"/>
  <c r="I63" i="138"/>
  <c r="I46" i="147"/>
  <c r="I51" i="134"/>
  <c r="H206" i="147"/>
  <c r="H225" i="134"/>
  <c r="I55" i="134"/>
  <c r="I67" i="138"/>
  <c r="I50" i="147"/>
  <c r="J76" i="137"/>
  <c r="K40" i="137"/>
  <c r="J129" i="138"/>
  <c r="J56" i="138"/>
  <c r="J69" i="137"/>
  <c r="K33" i="137"/>
  <c r="K52" i="137"/>
  <c r="J88" i="137"/>
  <c r="J207" i="138"/>
  <c r="H207" i="134"/>
  <c r="H190" i="147"/>
  <c r="H217" i="138"/>
  <c r="H69" i="134"/>
  <c r="I56" i="134"/>
  <c r="I68" i="138"/>
  <c r="I51" i="147"/>
  <c r="H148" i="134"/>
  <c r="J131" i="138"/>
  <c r="K42" i="137"/>
  <c r="J78" i="137"/>
  <c r="H144" i="134"/>
  <c r="L43" i="137"/>
  <c r="K79" i="137"/>
  <c r="K132" i="138"/>
  <c r="H136" i="147"/>
  <c r="J75" i="137"/>
  <c r="J128" i="138"/>
  <c r="K39" i="137"/>
  <c r="H61" i="147"/>
  <c r="J66" i="137"/>
  <c r="K30" i="137"/>
  <c r="J53" i="138"/>
  <c r="I86" i="137"/>
  <c r="I205" i="138"/>
  <c r="J50" i="137"/>
  <c r="I123" i="147"/>
  <c r="I145" i="138"/>
  <c r="I134" i="134"/>
  <c r="H58" i="147"/>
  <c r="G202" i="147"/>
  <c r="K54" i="137"/>
  <c r="J209" i="138"/>
  <c r="J90" i="137"/>
  <c r="H143" i="134"/>
  <c r="H132" i="147"/>
  <c r="G220" i="134"/>
  <c r="I118" i="147"/>
  <c r="I140" i="138"/>
  <c r="I129" i="134"/>
  <c r="H67" i="134"/>
  <c r="H63" i="147"/>
  <c r="K41" i="137"/>
  <c r="J130" i="138"/>
  <c r="J77" i="137"/>
  <c r="K32" i="137"/>
  <c r="J55" i="138"/>
  <c r="J68" i="137"/>
  <c r="H131" i="147"/>
  <c r="J122" i="147"/>
  <c r="J144" i="138"/>
  <c r="J133" i="134"/>
  <c r="H62" i="147"/>
  <c r="I124" i="147"/>
  <c r="I146" i="138"/>
  <c r="I135" i="134"/>
  <c r="I53" i="134"/>
  <c r="I48" i="147"/>
  <c r="I65" i="138"/>
  <c r="I213" i="134"/>
  <c r="I223" i="138"/>
  <c r="I196" i="147"/>
  <c r="H66" i="134"/>
  <c r="H145" i="134"/>
  <c r="H226" i="134"/>
  <c r="H128" i="134"/>
  <c r="H136" i="138"/>
  <c r="H153" i="138"/>
  <c r="H117" i="147"/>
  <c r="H139" i="138"/>
  <c r="H148" i="138" s="1"/>
  <c r="H208" i="147"/>
  <c r="J67" i="137"/>
  <c r="K31" i="137"/>
  <c r="J54" i="138"/>
  <c r="I74" i="137"/>
  <c r="I82" i="137" s="1"/>
  <c r="J38" i="137"/>
  <c r="I127" i="138"/>
  <c r="G126" i="147"/>
  <c r="G129" i="147"/>
  <c r="G143" i="147"/>
  <c r="G145" i="147" s="1"/>
  <c r="H147" i="134"/>
  <c r="I47" i="147"/>
  <c r="I64" i="138"/>
  <c r="I52" i="134"/>
  <c r="H64" i="134"/>
  <c r="I134" i="147"/>
  <c r="I58" i="138"/>
  <c r="I121" i="147"/>
  <c r="I143" i="138"/>
  <c r="I132" i="134"/>
  <c r="I75" i="138"/>
  <c r="I211" i="134"/>
  <c r="I194" i="147"/>
  <c r="I221" i="138"/>
  <c r="K56" i="137"/>
  <c r="J92" i="137"/>
  <c r="J211" i="138"/>
  <c r="H65" i="134"/>
  <c r="I209" i="134"/>
  <c r="I192" i="147"/>
  <c r="I219" i="138"/>
  <c r="K45" i="137"/>
  <c r="J134" i="138"/>
  <c r="J81" i="137"/>
  <c r="I50" i="134"/>
  <c r="I62" i="138"/>
  <c r="I45" i="147"/>
  <c r="J44" i="147"/>
  <c r="I56" i="147"/>
  <c r="I62" i="134"/>
  <c r="L26" i="137"/>
  <c r="K62" i="137"/>
  <c r="K49" i="138"/>
  <c r="J61" i="138"/>
  <c r="J49" i="134"/>
  <c r="G156" i="152" l="1"/>
  <c r="G212" i="152"/>
  <c r="G100" i="152"/>
  <c r="I210" i="138"/>
  <c r="I212" i="134" s="1"/>
  <c r="I225" i="134" s="1"/>
  <c r="F47" i="152"/>
  <c r="G226" i="138"/>
  <c r="J55" i="137"/>
  <c r="K55" i="137" s="1"/>
  <c r="K210" i="138" s="1"/>
  <c r="H70" i="138"/>
  <c r="I206" i="138"/>
  <c r="I208" i="134" s="1"/>
  <c r="I221" i="134" s="1"/>
  <c r="J51" i="137"/>
  <c r="J87" i="137" s="1"/>
  <c r="G96" i="144"/>
  <c r="G71" i="134"/>
  <c r="G76" i="134"/>
  <c r="G78" i="134" s="1"/>
  <c r="G152" i="144"/>
  <c r="G208" i="144"/>
  <c r="I58" i="137"/>
  <c r="G58" i="134"/>
  <c r="G174" i="144"/>
  <c r="G179" i="144" s="1"/>
  <c r="G118" i="144"/>
  <c r="G123" i="144" s="1"/>
  <c r="G6" i="144"/>
  <c r="G11" i="144" s="1"/>
  <c r="H208" i="134"/>
  <c r="H221" i="134" s="1"/>
  <c r="H208" i="144" s="1"/>
  <c r="F215" i="144"/>
  <c r="H218" i="138"/>
  <c r="H226" i="138" s="1"/>
  <c r="G46" i="152"/>
  <c r="F159" i="144"/>
  <c r="H231" i="138"/>
  <c r="H214" i="138"/>
  <c r="F215" i="152"/>
  <c r="F103" i="152"/>
  <c r="K53" i="137"/>
  <c r="L53" i="137" s="1"/>
  <c r="L89" i="137" s="1"/>
  <c r="F103" i="144"/>
  <c r="J208" i="138"/>
  <c r="J220" i="138" s="1"/>
  <c r="I94" i="137"/>
  <c r="G216" i="134"/>
  <c r="G234" i="134"/>
  <c r="G236" i="134" s="1"/>
  <c r="F159" i="152"/>
  <c r="G199" i="147"/>
  <c r="G158" i="152"/>
  <c r="G214" i="152"/>
  <c r="G216" i="147"/>
  <c r="G218" i="147" s="1"/>
  <c r="G214" i="144"/>
  <c r="G102" i="144"/>
  <c r="H214" i="134"/>
  <c r="H227" i="134" s="1"/>
  <c r="H46" i="144" s="1"/>
  <c r="H224" i="138"/>
  <c r="H197" i="147"/>
  <c r="H209" i="147" s="1"/>
  <c r="H158" i="152" s="1"/>
  <c r="G158" i="144"/>
  <c r="J57" i="137"/>
  <c r="I212" i="138"/>
  <c r="I93" i="137"/>
  <c r="H58" i="134"/>
  <c r="K27" i="137"/>
  <c r="K50" i="138" s="1"/>
  <c r="J63" i="137"/>
  <c r="J70" i="137" s="1"/>
  <c r="J34" i="137"/>
  <c r="H63" i="134"/>
  <c r="H60" i="144" s="1"/>
  <c r="H53" i="147"/>
  <c r="H70" i="147"/>
  <c r="H72" i="147" s="1"/>
  <c r="H61" i="144"/>
  <c r="H173" i="144"/>
  <c r="H5" i="144"/>
  <c r="H117" i="144"/>
  <c r="H192" i="144"/>
  <c r="H136" i="144"/>
  <c r="H24" i="144"/>
  <c r="H80" i="144"/>
  <c r="H208" i="152"/>
  <c r="H152" i="152"/>
  <c r="H96" i="152"/>
  <c r="H40" i="152"/>
  <c r="H83" i="152"/>
  <c r="H27" i="152"/>
  <c r="H195" i="152"/>
  <c r="H139" i="152"/>
  <c r="G11" i="152"/>
  <c r="H84" i="144"/>
  <c r="H28" i="144"/>
  <c r="H196" i="144"/>
  <c r="H140" i="144"/>
  <c r="G67" i="152"/>
  <c r="H134" i="144"/>
  <c r="H190" i="144"/>
  <c r="H78" i="144"/>
  <c r="H22" i="144"/>
  <c r="G123" i="152"/>
  <c r="H195" i="144"/>
  <c r="H139" i="144"/>
  <c r="H83" i="144"/>
  <c r="H27" i="144"/>
  <c r="H137" i="144"/>
  <c r="H81" i="144"/>
  <c r="H193" i="144"/>
  <c r="H25" i="144"/>
  <c r="H191" i="152"/>
  <c r="H135" i="152"/>
  <c r="H79" i="152"/>
  <c r="H23" i="152"/>
  <c r="H137" i="152"/>
  <c r="H81" i="152"/>
  <c r="H193" i="152"/>
  <c r="H25" i="152"/>
  <c r="G138" i="147"/>
  <c r="G189" i="152"/>
  <c r="G197" i="152" s="1"/>
  <c r="G133" i="152"/>
  <c r="G141" i="152" s="1"/>
  <c r="G77" i="152"/>
  <c r="G85" i="152" s="1"/>
  <c r="G21" i="152"/>
  <c r="G29" i="152" s="1"/>
  <c r="H41" i="144"/>
  <c r="H153" i="144"/>
  <c r="H97" i="144"/>
  <c r="H209" i="144"/>
  <c r="H10" i="144"/>
  <c r="H66" i="144"/>
  <c r="H178" i="144"/>
  <c r="H122" i="144"/>
  <c r="H156" i="144"/>
  <c r="H100" i="144"/>
  <c r="H44" i="144"/>
  <c r="H212" i="144"/>
  <c r="H213" i="152"/>
  <c r="H157" i="152"/>
  <c r="H101" i="152"/>
  <c r="H45" i="152"/>
  <c r="H65" i="144"/>
  <c r="H9" i="144"/>
  <c r="H121" i="144"/>
  <c r="H177" i="144"/>
  <c r="G133" i="144"/>
  <c r="G141" i="144" s="1"/>
  <c r="G189" i="144"/>
  <c r="G197" i="144" s="1"/>
  <c r="G77" i="144"/>
  <c r="G85" i="144" s="1"/>
  <c r="G21" i="144"/>
  <c r="G29" i="144" s="1"/>
  <c r="H9" i="152"/>
  <c r="H177" i="152"/>
  <c r="H65" i="152"/>
  <c r="H121" i="152"/>
  <c r="H62" i="144"/>
  <c r="H174" i="144"/>
  <c r="H118" i="144"/>
  <c r="H6" i="144"/>
  <c r="H99" i="152"/>
  <c r="H155" i="152"/>
  <c r="H211" i="152"/>
  <c r="H43" i="152"/>
  <c r="H190" i="152"/>
  <c r="H134" i="152"/>
  <c r="H78" i="152"/>
  <c r="H22" i="152"/>
  <c r="H135" i="144"/>
  <c r="H79" i="144"/>
  <c r="H191" i="144"/>
  <c r="H23" i="144"/>
  <c r="I171" i="152"/>
  <c r="I115" i="152"/>
  <c r="I3" i="152"/>
  <c r="I59" i="152"/>
  <c r="H196" i="152"/>
  <c r="H140" i="152"/>
  <c r="H84" i="152"/>
  <c r="H28" i="152"/>
  <c r="G211" i="147"/>
  <c r="G207" i="152"/>
  <c r="G151" i="152"/>
  <c r="G95" i="152"/>
  <c r="G39" i="152"/>
  <c r="H156" i="152"/>
  <c r="H100" i="152"/>
  <c r="H212" i="152"/>
  <c r="H44" i="152"/>
  <c r="H173" i="152"/>
  <c r="H117" i="152"/>
  <c r="H61" i="152"/>
  <c r="H5" i="152"/>
  <c r="I98" i="144"/>
  <c r="I42" i="144"/>
  <c r="I154" i="144"/>
  <c r="I210" i="144"/>
  <c r="H62" i="152"/>
  <c r="H6" i="152"/>
  <c r="H118" i="152"/>
  <c r="H174" i="152"/>
  <c r="H101" i="144"/>
  <c r="H157" i="144"/>
  <c r="H213" i="144"/>
  <c r="H45" i="144"/>
  <c r="G229" i="134"/>
  <c r="G151" i="144"/>
  <c r="G39" i="144"/>
  <c r="G47" i="144" s="1"/>
  <c r="G207" i="144"/>
  <c r="G95" i="144"/>
  <c r="H192" i="152"/>
  <c r="H24" i="152"/>
  <c r="H80" i="152"/>
  <c r="H136" i="152"/>
  <c r="G67" i="144"/>
  <c r="H176" i="152"/>
  <c r="H120" i="152"/>
  <c r="H8" i="152"/>
  <c r="H64" i="152"/>
  <c r="H178" i="152"/>
  <c r="H122" i="152"/>
  <c r="H66" i="152"/>
  <c r="H10" i="152"/>
  <c r="H172" i="152"/>
  <c r="H116" i="152"/>
  <c r="H60" i="152"/>
  <c r="H4" i="152"/>
  <c r="I42" i="152"/>
  <c r="I98" i="152"/>
  <c r="I210" i="152"/>
  <c r="I154" i="152"/>
  <c r="I138" i="152"/>
  <c r="I26" i="152"/>
  <c r="I82" i="152"/>
  <c r="I194" i="152"/>
  <c r="H176" i="144"/>
  <c r="H64" i="144"/>
  <c r="H120" i="144"/>
  <c r="H8" i="144"/>
  <c r="I194" i="144"/>
  <c r="I82" i="144"/>
  <c r="I26" i="144"/>
  <c r="I138" i="144"/>
  <c r="H211" i="144"/>
  <c r="H99" i="144"/>
  <c r="H155" i="144"/>
  <c r="H43" i="144"/>
  <c r="G179" i="152"/>
  <c r="H119" i="152"/>
  <c r="H63" i="152"/>
  <c r="H7" i="152"/>
  <c r="H175" i="152"/>
  <c r="H175" i="144"/>
  <c r="H7" i="144"/>
  <c r="H63" i="144"/>
  <c r="H119" i="144"/>
  <c r="I59" i="144"/>
  <c r="I3" i="144"/>
  <c r="I171" i="144"/>
  <c r="I115" i="144"/>
  <c r="H41" i="152"/>
  <c r="H97" i="152"/>
  <c r="H209" i="152"/>
  <c r="H153" i="152"/>
  <c r="G150" i="134"/>
  <c r="H65" i="147"/>
  <c r="I70" i="138"/>
  <c r="J75" i="138"/>
  <c r="I58" i="134"/>
  <c r="L39" i="137"/>
  <c r="K75" i="137"/>
  <c r="K128" i="138"/>
  <c r="I62" i="147"/>
  <c r="L29" i="137"/>
  <c r="K52" i="138"/>
  <c r="K65" i="137"/>
  <c r="I68" i="134"/>
  <c r="I59" i="147"/>
  <c r="H220" i="134"/>
  <c r="I206" i="147"/>
  <c r="I224" i="134"/>
  <c r="L79" i="137"/>
  <c r="L132" i="138"/>
  <c r="M43" i="137"/>
  <c r="I148" i="134"/>
  <c r="I76" i="134"/>
  <c r="I78" i="134" s="1"/>
  <c r="I63" i="134"/>
  <c r="I145" i="134"/>
  <c r="I217" i="138"/>
  <c r="I207" i="134"/>
  <c r="I190" i="147"/>
  <c r="J219" i="138"/>
  <c r="J192" i="147"/>
  <c r="J209" i="134"/>
  <c r="I136" i="147"/>
  <c r="I69" i="134"/>
  <c r="I70" i="147"/>
  <c r="I72" i="147" s="1"/>
  <c r="I67" i="134"/>
  <c r="I135" i="147"/>
  <c r="J124" i="147"/>
  <c r="J146" i="138"/>
  <c r="J135" i="134"/>
  <c r="J63" i="138"/>
  <c r="J51" i="134"/>
  <c r="J46" i="147"/>
  <c r="K134" i="138"/>
  <c r="K81" i="137"/>
  <c r="L45" i="137"/>
  <c r="J127" i="138"/>
  <c r="J74" i="137"/>
  <c r="J82" i="137" s="1"/>
  <c r="K38" i="137"/>
  <c r="I64" i="134"/>
  <c r="K51" i="138"/>
  <c r="L28" i="137"/>
  <c r="K64" i="137"/>
  <c r="J47" i="147"/>
  <c r="J52" i="134"/>
  <c r="J64" i="138"/>
  <c r="K92" i="137"/>
  <c r="L56" i="137"/>
  <c r="K211" i="138"/>
  <c r="J140" i="138"/>
  <c r="J129" i="134"/>
  <c r="J118" i="147"/>
  <c r="H129" i="147"/>
  <c r="H126" i="147"/>
  <c r="H143" i="147"/>
  <c r="H145" i="147" s="1"/>
  <c r="H202" i="147"/>
  <c r="I60" i="147"/>
  <c r="J146" i="134"/>
  <c r="L42" i="137"/>
  <c r="K131" i="138"/>
  <c r="K78" i="137"/>
  <c r="I58" i="147"/>
  <c r="K129" i="138"/>
  <c r="K76" i="137"/>
  <c r="L40" i="137"/>
  <c r="K68" i="137"/>
  <c r="L32" i="137"/>
  <c r="K55" i="138"/>
  <c r="I57" i="147"/>
  <c r="I66" i="134"/>
  <c r="K50" i="137"/>
  <c r="J86" i="137"/>
  <c r="J205" i="138"/>
  <c r="I153" i="138"/>
  <c r="I117" i="147"/>
  <c r="I139" i="138"/>
  <c r="I148" i="138" s="1"/>
  <c r="I128" i="134"/>
  <c r="I136" i="138"/>
  <c r="I204" i="147"/>
  <c r="J49" i="147"/>
  <c r="J66" i="138"/>
  <c r="J54" i="134"/>
  <c r="J194" i="147"/>
  <c r="J211" i="134"/>
  <c r="J221" i="138"/>
  <c r="J65" i="138"/>
  <c r="J48" i="147"/>
  <c r="J53" i="134"/>
  <c r="J121" i="147"/>
  <c r="J143" i="138"/>
  <c r="J132" i="134"/>
  <c r="L33" i="137"/>
  <c r="K69" i="137"/>
  <c r="K56" i="138"/>
  <c r="I132" i="147"/>
  <c r="J196" i="147"/>
  <c r="J223" i="138"/>
  <c r="J213" i="134"/>
  <c r="I131" i="147"/>
  <c r="J50" i="147"/>
  <c r="J67" i="138"/>
  <c r="J55" i="134"/>
  <c r="I208" i="147"/>
  <c r="I53" i="147"/>
  <c r="I65" i="134"/>
  <c r="K133" i="138"/>
  <c r="L44" i="137"/>
  <c r="K80" i="137"/>
  <c r="K88" i="137"/>
  <c r="L52" i="137"/>
  <c r="K207" i="138"/>
  <c r="J58" i="138"/>
  <c r="J134" i="147"/>
  <c r="L54" i="137"/>
  <c r="K209" i="138"/>
  <c r="K90" i="137"/>
  <c r="K66" i="137"/>
  <c r="L30" i="137"/>
  <c r="K53" i="138"/>
  <c r="I144" i="134"/>
  <c r="I63" i="147"/>
  <c r="J119" i="147"/>
  <c r="J130" i="134"/>
  <c r="J141" i="138"/>
  <c r="I142" i="134"/>
  <c r="I226" i="134"/>
  <c r="J120" i="147"/>
  <c r="J142" i="138"/>
  <c r="J131" i="134"/>
  <c r="I61" i="147"/>
  <c r="K77" i="137"/>
  <c r="L41" i="137"/>
  <c r="K130" i="138"/>
  <c r="I130" i="147"/>
  <c r="I147" i="134"/>
  <c r="K133" i="134"/>
  <c r="K144" i="138"/>
  <c r="K122" i="147"/>
  <c r="J123" i="147"/>
  <c r="J145" i="138"/>
  <c r="J134" i="134"/>
  <c r="H137" i="134"/>
  <c r="H141" i="134"/>
  <c r="H155" i="134"/>
  <c r="H157" i="134" s="1"/>
  <c r="I133" i="147"/>
  <c r="I222" i="134"/>
  <c r="L31" i="137"/>
  <c r="K54" i="138"/>
  <c r="K67" i="137"/>
  <c r="J45" i="147"/>
  <c r="J62" i="138"/>
  <c r="J50" i="134"/>
  <c r="J51" i="147"/>
  <c r="J68" i="138"/>
  <c r="J56" i="134"/>
  <c r="I143" i="134"/>
  <c r="K44" i="147"/>
  <c r="J56" i="147"/>
  <c r="J62" i="134"/>
  <c r="K61" i="138"/>
  <c r="K49" i="134"/>
  <c r="L62" i="137"/>
  <c r="M26" i="137"/>
  <c r="L49" i="138"/>
  <c r="G103" i="152" l="1"/>
  <c r="I195" i="147"/>
  <c r="I207" i="147" s="1"/>
  <c r="I100" i="152" s="1"/>
  <c r="I222" i="138"/>
  <c r="I191" i="147"/>
  <c r="I203" i="147" s="1"/>
  <c r="I152" i="152" s="1"/>
  <c r="K91" i="137"/>
  <c r="J210" i="138"/>
  <c r="J195" i="147" s="1"/>
  <c r="J207" i="147" s="1"/>
  <c r="L55" i="137"/>
  <c r="L91" i="137" s="1"/>
  <c r="J91" i="137"/>
  <c r="J94" i="137" s="1"/>
  <c r="J206" i="138"/>
  <c r="J191" i="147" s="1"/>
  <c r="J203" i="147" s="1"/>
  <c r="I218" i="138"/>
  <c r="I231" i="138"/>
  <c r="I214" i="138"/>
  <c r="J58" i="137"/>
  <c r="K51" i="137"/>
  <c r="L51" i="137" s="1"/>
  <c r="M51" i="137" s="1"/>
  <c r="G47" i="152"/>
  <c r="H40" i="144"/>
  <c r="H96" i="144"/>
  <c r="H152" i="144"/>
  <c r="K89" i="137"/>
  <c r="J193" i="147"/>
  <c r="J205" i="147" s="1"/>
  <c r="J210" i="152" s="1"/>
  <c r="K208" i="138"/>
  <c r="K210" i="134" s="1"/>
  <c r="K223" i="134" s="1"/>
  <c r="M53" i="137"/>
  <c r="M208" i="138" s="1"/>
  <c r="L208" i="138"/>
  <c r="L210" i="134" s="1"/>
  <c r="J210" i="134"/>
  <c r="J223" i="134" s="1"/>
  <c r="J42" i="144" s="1"/>
  <c r="G159" i="152"/>
  <c r="H102" i="144"/>
  <c r="G215" i="152"/>
  <c r="H214" i="144"/>
  <c r="H46" i="152"/>
  <c r="H158" i="144"/>
  <c r="H234" i="134"/>
  <c r="H236" i="134" s="1"/>
  <c r="H216" i="134"/>
  <c r="G103" i="144"/>
  <c r="G159" i="144"/>
  <c r="G215" i="144"/>
  <c r="H199" i="147"/>
  <c r="H214" i="152"/>
  <c r="H102" i="152"/>
  <c r="H216" i="147"/>
  <c r="H218" i="147" s="1"/>
  <c r="J93" i="137"/>
  <c r="K57" i="137"/>
  <c r="J212" i="138"/>
  <c r="I224" i="138"/>
  <c r="I214" i="134"/>
  <c r="I227" i="134" s="1"/>
  <c r="I158" i="144" s="1"/>
  <c r="I197" i="147"/>
  <c r="I209" i="147" s="1"/>
  <c r="I214" i="152" s="1"/>
  <c r="K34" i="137"/>
  <c r="L27" i="137"/>
  <c r="L34" i="137" s="1"/>
  <c r="K63" i="137"/>
  <c r="K70" i="137" s="1"/>
  <c r="H71" i="134"/>
  <c r="H116" i="144"/>
  <c r="H123" i="144" s="1"/>
  <c r="H172" i="144"/>
  <c r="H179" i="144" s="1"/>
  <c r="H4" i="144"/>
  <c r="H11" i="144" s="1"/>
  <c r="I140" i="152"/>
  <c r="I196" i="152"/>
  <c r="I28" i="152"/>
  <c r="I84" i="152"/>
  <c r="I119" i="152"/>
  <c r="I175" i="152"/>
  <c r="I7" i="152"/>
  <c r="I63" i="152"/>
  <c r="I192" i="144"/>
  <c r="I24" i="144"/>
  <c r="I136" i="144"/>
  <c r="I80" i="144"/>
  <c r="H11" i="152"/>
  <c r="I60" i="152"/>
  <c r="I4" i="152"/>
  <c r="I116" i="152"/>
  <c r="I172" i="152"/>
  <c r="H123" i="152"/>
  <c r="I191" i="152"/>
  <c r="I135" i="152"/>
  <c r="I79" i="152"/>
  <c r="I23" i="152"/>
  <c r="I172" i="144"/>
  <c r="I4" i="144"/>
  <c r="I116" i="144"/>
  <c r="I60" i="144"/>
  <c r="I137" i="152"/>
  <c r="I25" i="152"/>
  <c r="I81" i="152"/>
  <c r="I193" i="152"/>
  <c r="I10" i="144"/>
  <c r="I66" i="144"/>
  <c r="I178" i="144"/>
  <c r="I122" i="144"/>
  <c r="J59" i="144"/>
  <c r="J171" i="144"/>
  <c r="J3" i="144"/>
  <c r="J115" i="144"/>
  <c r="J82" i="144"/>
  <c r="J26" i="144"/>
  <c r="J194" i="144"/>
  <c r="J138" i="144"/>
  <c r="I62" i="144"/>
  <c r="I118" i="144"/>
  <c r="I174" i="144"/>
  <c r="I6" i="144"/>
  <c r="I175" i="144"/>
  <c r="I7" i="144"/>
  <c r="I119" i="144"/>
  <c r="I63" i="144"/>
  <c r="H67" i="144"/>
  <c r="I195" i="144"/>
  <c r="I139" i="144"/>
  <c r="I83" i="144"/>
  <c r="I27" i="144"/>
  <c r="I78" i="152"/>
  <c r="I22" i="152"/>
  <c r="I190" i="152"/>
  <c r="I134" i="152"/>
  <c r="H229" i="134"/>
  <c r="H39" i="144"/>
  <c r="H95" i="144"/>
  <c r="H151" i="144"/>
  <c r="H207" i="144"/>
  <c r="I137" i="144"/>
  <c r="I81" i="144"/>
  <c r="I25" i="144"/>
  <c r="I193" i="144"/>
  <c r="I209" i="152"/>
  <c r="I153" i="152"/>
  <c r="I97" i="152"/>
  <c r="I41" i="152"/>
  <c r="I134" i="144"/>
  <c r="I190" i="144"/>
  <c r="I22" i="144"/>
  <c r="I78" i="144"/>
  <c r="H133" i="144"/>
  <c r="H141" i="144" s="1"/>
  <c r="H189" i="144"/>
  <c r="H197" i="144" s="1"/>
  <c r="H77" i="144"/>
  <c r="H85" i="144" s="1"/>
  <c r="H21" i="144"/>
  <c r="H29" i="144" s="1"/>
  <c r="J171" i="152"/>
  <c r="J59" i="152"/>
  <c r="J115" i="152"/>
  <c r="J3" i="152"/>
  <c r="I61" i="144"/>
  <c r="I173" i="144"/>
  <c r="I5" i="144"/>
  <c r="I117" i="144"/>
  <c r="I79" i="144"/>
  <c r="I23" i="144"/>
  <c r="I135" i="144"/>
  <c r="I191" i="144"/>
  <c r="H211" i="147"/>
  <c r="H207" i="152"/>
  <c r="H151" i="152"/>
  <c r="H159" i="152" s="1"/>
  <c r="H95" i="152"/>
  <c r="H39" i="152"/>
  <c r="I43" i="152"/>
  <c r="I99" i="152"/>
  <c r="I155" i="152"/>
  <c r="I211" i="152"/>
  <c r="H179" i="152"/>
  <c r="I212" i="144"/>
  <c r="I100" i="144"/>
  <c r="I156" i="144"/>
  <c r="I44" i="144"/>
  <c r="I192" i="152"/>
  <c r="I136" i="152"/>
  <c r="I80" i="152"/>
  <c r="I24" i="152"/>
  <c r="I65" i="144"/>
  <c r="I9" i="144"/>
  <c r="I121" i="144"/>
  <c r="I177" i="144"/>
  <c r="I83" i="152"/>
  <c r="I139" i="152"/>
  <c r="I27" i="152"/>
  <c r="I195" i="152"/>
  <c r="I140" i="144"/>
  <c r="I28" i="144"/>
  <c r="I196" i="144"/>
  <c r="I84" i="144"/>
  <c r="I152" i="144"/>
  <c r="I40" i="144"/>
  <c r="I208" i="144"/>
  <c r="I96" i="144"/>
  <c r="I178" i="152"/>
  <c r="I66" i="152"/>
  <c r="I122" i="152"/>
  <c r="I10" i="152"/>
  <c r="I213" i="152"/>
  <c r="I157" i="152"/>
  <c r="I45" i="152"/>
  <c r="I101" i="152"/>
  <c r="H67" i="152"/>
  <c r="I211" i="144"/>
  <c r="I43" i="144"/>
  <c r="I99" i="144"/>
  <c r="I155" i="144"/>
  <c r="H138" i="147"/>
  <c r="H133" i="152"/>
  <c r="H141" i="152" s="1"/>
  <c r="H77" i="152"/>
  <c r="H85" i="152" s="1"/>
  <c r="H189" i="152"/>
  <c r="H197" i="152" s="1"/>
  <c r="H21" i="152"/>
  <c r="H29" i="152" s="1"/>
  <c r="J194" i="152"/>
  <c r="J82" i="152"/>
  <c r="J138" i="152"/>
  <c r="J26" i="152"/>
  <c r="I174" i="152"/>
  <c r="I118" i="152"/>
  <c r="I62" i="152"/>
  <c r="I6" i="152"/>
  <c r="I176" i="152"/>
  <c r="I120" i="152"/>
  <c r="I8" i="152"/>
  <c r="I64" i="152"/>
  <c r="I209" i="144"/>
  <c r="I41" i="144"/>
  <c r="I153" i="144"/>
  <c r="I97" i="144"/>
  <c r="I213" i="144"/>
  <c r="I101" i="144"/>
  <c r="I157" i="144"/>
  <c r="I45" i="144"/>
  <c r="I173" i="152"/>
  <c r="I117" i="152"/>
  <c r="I61" i="152"/>
  <c r="I5" i="152"/>
  <c r="I176" i="144"/>
  <c r="I120" i="144"/>
  <c r="I64" i="144"/>
  <c r="I8" i="144"/>
  <c r="I177" i="152"/>
  <c r="I9" i="152"/>
  <c r="I65" i="152"/>
  <c r="I121" i="152"/>
  <c r="H150" i="134"/>
  <c r="K58" i="138"/>
  <c r="I65" i="147"/>
  <c r="I71" i="134"/>
  <c r="J58" i="134"/>
  <c r="K146" i="134"/>
  <c r="J222" i="134"/>
  <c r="J70" i="138"/>
  <c r="K195" i="147"/>
  <c r="K212" i="134"/>
  <c r="K222" i="138"/>
  <c r="J64" i="134"/>
  <c r="J76" i="134"/>
  <c r="J78" i="134" s="1"/>
  <c r="J65" i="134"/>
  <c r="J208" i="147"/>
  <c r="J204" i="147"/>
  <c r="K50" i="134"/>
  <c r="K62" i="138"/>
  <c r="K45" i="147"/>
  <c r="K75" i="138"/>
  <c r="I202" i="147"/>
  <c r="J61" i="147"/>
  <c r="K49" i="147"/>
  <c r="K54" i="134"/>
  <c r="K66" i="138"/>
  <c r="L54" i="138"/>
  <c r="M31" i="137"/>
  <c r="L67" i="137"/>
  <c r="L76" i="137"/>
  <c r="L129" i="138"/>
  <c r="M40" i="137"/>
  <c r="K119" i="147"/>
  <c r="K141" i="138"/>
  <c r="K130" i="134"/>
  <c r="M28" i="137"/>
  <c r="L64" i="137"/>
  <c r="L51" i="138"/>
  <c r="J144" i="134"/>
  <c r="K194" i="147"/>
  <c r="K211" i="134"/>
  <c r="K221" i="138"/>
  <c r="J133" i="147"/>
  <c r="I143" i="147"/>
  <c r="I145" i="147" s="1"/>
  <c r="I129" i="147"/>
  <c r="I126" i="147"/>
  <c r="J132" i="147"/>
  <c r="L209" i="138"/>
  <c r="M54" i="137"/>
  <c r="L90" i="137"/>
  <c r="J66" i="134"/>
  <c r="K74" i="137"/>
  <c r="K82" i="137" s="1"/>
  <c r="K127" i="138"/>
  <c r="L38" i="137"/>
  <c r="K134" i="134"/>
  <c r="K123" i="147"/>
  <c r="K145" i="138"/>
  <c r="L130" i="138"/>
  <c r="L77" i="137"/>
  <c r="M41" i="137"/>
  <c r="L56" i="138"/>
  <c r="M33" i="137"/>
  <c r="L69" i="137"/>
  <c r="K46" i="147"/>
  <c r="K51" i="134"/>
  <c r="K63" i="138"/>
  <c r="K143" i="138"/>
  <c r="K132" i="134"/>
  <c r="K121" i="147"/>
  <c r="L131" i="138"/>
  <c r="L78" i="137"/>
  <c r="L81" i="137"/>
  <c r="L134" i="138"/>
  <c r="M45" i="137"/>
  <c r="K219" i="138"/>
  <c r="K192" i="147"/>
  <c r="K209" i="134"/>
  <c r="J224" i="134"/>
  <c r="L50" i="137"/>
  <c r="K205" i="138"/>
  <c r="K86" i="137"/>
  <c r="K223" i="138"/>
  <c r="K213" i="134"/>
  <c r="K196" i="147"/>
  <c r="J148" i="134"/>
  <c r="I220" i="134"/>
  <c r="N43" i="137"/>
  <c r="M132" i="138"/>
  <c r="M79" i="137"/>
  <c r="J68" i="134"/>
  <c r="J207" i="134"/>
  <c r="J190" i="147"/>
  <c r="J217" i="138"/>
  <c r="J147" i="134"/>
  <c r="J135" i="147"/>
  <c r="L88" i="137"/>
  <c r="L207" i="138"/>
  <c r="M52" i="137"/>
  <c r="J206" i="147"/>
  <c r="L211" i="138"/>
  <c r="M56" i="137"/>
  <c r="L92" i="137"/>
  <c r="J143" i="134"/>
  <c r="J67" i="134"/>
  <c r="J59" i="147"/>
  <c r="J131" i="147"/>
  <c r="K50" i="147"/>
  <c r="K55" i="134"/>
  <c r="K67" i="138"/>
  <c r="L133" i="138"/>
  <c r="L80" i="137"/>
  <c r="M44" i="137"/>
  <c r="M32" i="137"/>
  <c r="L68" i="137"/>
  <c r="L55" i="138"/>
  <c r="J136" i="147"/>
  <c r="K64" i="138"/>
  <c r="K47" i="147"/>
  <c r="K52" i="134"/>
  <c r="L52" i="138"/>
  <c r="L65" i="137"/>
  <c r="M29" i="137"/>
  <c r="K142" i="138"/>
  <c r="K120" i="147"/>
  <c r="K131" i="134"/>
  <c r="K51" i="147"/>
  <c r="K68" i="138"/>
  <c r="K56" i="134"/>
  <c r="K48" i="147"/>
  <c r="K65" i="138"/>
  <c r="K53" i="134"/>
  <c r="L122" i="147"/>
  <c r="L144" i="138"/>
  <c r="L133" i="134"/>
  <c r="M30" i="137"/>
  <c r="L66" i="137"/>
  <c r="L53" i="138"/>
  <c r="J145" i="134"/>
  <c r="I155" i="134"/>
  <c r="I157" i="134" s="1"/>
  <c r="I137" i="134"/>
  <c r="I141" i="134"/>
  <c r="J53" i="147"/>
  <c r="J69" i="134"/>
  <c r="J60" i="147"/>
  <c r="J130" i="147"/>
  <c r="K118" i="147"/>
  <c r="K140" i="138"/>
  <c r="K129" i="134"/>
  <c r="J70" i="147"/>
  <c r="J72" i="147" s="1"/>
  <c r="J142" i="134"/>
  <c r="J153" i="138"/>
  <c r="J117" i="147"/>
  <c r="J139" i="138"/>
  <c r="J148" i="138" s="1"/>
  <c r="J128" i="134"/>
  <c r="J136" i="138"/>
  <c r="J63" i="147"/>
  <c r="J62" i="147"/>
  <c r="M39" i="137"/>
  <c r="L75" i="137"/>
  <c r="L128" i="138"/>
  <c r="J63" i="134"/>
  <c r="K124" i="147"/>
  <c r="K146" i="138"/>
  <c r="K135" i="134"/>
  <c r="J57" i="147"/>
  <c r="K134" i="147"/>
  <c r="J226" i="134"/>
  <c r="J58" i="147"/>
  <c r="L44" i="147"/>
  <c r="K56" i="147"/>
  <c r="K62" i="134"/>
  <c r="L61" i="138"/>
  <c r="L49" i="134"/>
  <c r="N26" i="137"/>
  <c r="M49" i="138"/>
  <c r="M62" i="137"/>
  <c r="C46" i="137"/>
  <c r="I226" i="138" l="1"/>
  <c r="I44" i="152"/>
  <c r="I212" i="152"/>
  <c r="I156" i="152"/>
  <c r="J222" i="138"/>
  <c r="J212" i="134"/>
  <c r="J225" i="134" s="1"/>
  <c r="J100" i="144" s="1"/>
  <c r="L210" i="138"/>
  <c r="L222" i="138" s="1"/>
  <c r="M55" i="137"/>
  <c r="M210" i="138" s="1"/>
  <c r="I40" i="152"/>
  <c r="I96" i="152"/>
  <c r="I208" i="152"/>
  <c r="J218" i="138"/>
  <c r="J208" i="134"/>
  <c r="J221" i="134" s="1"/>
  <c r="J152" i="144" s="1"/>
  <c r="J214" i="138"/>
  <c r="J231" i="138"/>
  <c r="K58" i="137"/>
  <c r="L206" i="138"/>
  <c r="L218" i="138" s="1"/>
  <c r="L87" i="137"/>
  <c r="K87" i="137"/>
  <c r="K94" i="137" s="1"/>
  <c r="J42" i="152"/>
  <c r="J154" i="152"/>
  <c r="K220" i="138"/>
  <c r="K206" i="138"/>
  <c r="K218" i="138" s="1"/>
  <c r="K193" i="147"/>
  <c r="K205" i="147" s="1"/>
  <c r="K210" i="152" s="1"/>
  <c r="H47" i="144"/>
  <c r="L193" i="147"/>
  <c r="L205" i="147" s="1"/>
  <c r="J98" i="152"/>
  <c r="N53" i="137"/>
  <c r="O53" i="137" s="1"/>
  <c r="M89" i="137"/>
  <c r="L220" i="138"/>
  <c r="J210" i="144"/>
  <c r="J98" i="144"/>
  <c r="J154" i="144"/>
  <c r="H103" i="152"/>
  <c r="H47" i="152"/>
  <c r="H103" i="144"/>
  <c r="H159" i="144"/>
  <c r="H215" i="144"/>
  <c r="H215" i="152"/>
  <c r="I214" i="144"/>
  <c r="L50" i="138"/>
  <c r="L58" i="138" s="1"/>
  <c r="L63" i="137"/>
  <c r="L70" i="137" s="1"/>
  <c r="M27" i="137"/>
  <c r="M63" i="137" s="1"/>
  <c r="I46" i="144"/>
  <c r="I216" i="134"/>
  <c r="I234" i="134"/>
  <c r="I236" i="134" s="1"/>
  <c r="I46" i="152"/>
  <c r="I102" i="152"/>
  <c r="I216" i="147"/>
  <c r="I218" i="147" s="1"/>
  <c r="I102" i="144"/>
  <c r="I158" i="152"/>
  <c r="J224" i="138"/>
  <c r="J197" i="147"/>
  <c r="J209" i="147" s="1"/>
  <c r="J214" i="152" s="1"/>
  <c r="J214" i="134"/>
  <c r="J227" i="134" s="1"/>
  <c r="J102" i="144" s="1"/>
  <c r="K212" i="138"/>
  <c r="L57" i="137"/>
  <c r="K93" i="137"/>
  <c r="I199" i="147"/>
  <c r="I179" i="144"/>
  <c r="I123" i="144"/>
  <c r="I11" i="144"/>
  <c r="J41" i="144"/>
  <c r="J97" i="144"/>
  <c r="J209" i="144"/>
  <c r="J153" i="144"/>
  <c r="J65" i="144"/>
  <c r="J9" i="144"/>
  <c r="J121" i="144"/>
  <c r="J177" i="144"/>
  <c r="J78" i="152"/>
  <c r="J22" i="152"/>
  <c r="J190" i="152"/>
  <c r="J134" i="152"/>
  <c r="J175" i="152"/>
  <c r="J119" i="152"/>
  <c r="J63" i="152"/>
  <c r="J7" i="152"/>
  <c r="J174" i="152"/>
  <c r="J118" i="152"/>
  <c r="J62" i="152"/>
  <c r="J6" i="152"/>
  <c r="J66" i="144"/>
  <c r="J10" i="144"/>
  <c r="J122" i="144"/>
  <c r="J178" i="144"/>
  <c r="J23" i="144"/>
  <c r="J191" i="144"/>
  <c r="J79" i="144"/>
  <c r="J135" i="144"/>
  <c r="I123" i="152"/>
  <c r="I179" i="152"/>
  <c r="J177" i="152"/>
  <c r="J9" i="152"/>
  <c r="J65" i="152"/>
  <c r="J121" i="152"/>
  <c r="J118" i="144"/>
  <c r="J62" i="144"/>
  <c r="J174" i="144"/>
  <c r="J6" i="144"/>
  <c r="K82" i="144"/>
  <c r="K26" i="144"/>
  <c r="K138" i="144"/>
  <c r="K194" i="144"/>
  <c r="I211" i="147"/>
  <c r="I207" i="152"/>
  <c r="I95" i="152"/>
  <c r="I151" i="152"/>
  <c r="I39" i="152"/>
  <c r="J213" i="144"/>
  <c r="J101" i="144"/>
  <c r="J157" i="144"/>
  <c r="J45" i="144"/>
  <c r="J135" i="152"/>
  <c r="J79" i="152"/>
  <c r="J23" i="152"/>
  <c r="J191" i="152"/>
  <c r="J209" i="152"/>
  <c r="J153" i="152"/>
  <c r="J97" i="152"/>
  <c r="J41" i="152"/>
  <c r="J213" i="152"/>
  <c r="J157" i="152"/>
  <c r="J101" i="152"/>
  <c r="J45" i="152"/>
  <c r="I67" i="152"/>
  <c r="I11" i="152"/>
  <c r="J137" i="144"/>
  <c r="J81" i="144"/>
  <c r="J25" i="144"/>
  <c r="J193" i="144"/>
  <c r="J43" i="152"/>
  <c r="J99" i="152"/>
  <c r="J211" i="152"/>
  <c r="J155" i="152"/>
  <c r="I229" i="134"/>
  <c r="I95" i="144"/>
  <c r="I151" i="144"/>
  <c r="I159" i="144" s="1"/>
  <c r="I207" i="144"/>
  <c r="I39" i="144"/>
  <c r="J175" i="144"/>
  <c r="J7" i="144"/>
  <c r="J119" i="144"/>
  <c r="J63" i="144"/>
  <c r="J192" i="152"/>
  <c r="J136" i="152"/>
  <c r="J80" i="152"/>
  <c r="J24" i="152"/>
  <c r="J173" i="152"/>
  <c r="J117" i="152"/>
  <c r="J5" i="152"/>
  <c r="J61" i="152"/>
  <c r="J195" i="144"/>
  <c r="J139" i="144"/>
  <c r="J83" i="144"/>
  <c r="J27" i="144"/>
  <c r="I138" i="147"/>
  <c r="I133" i="152"/>
  <c r="I141" i="152" s="1"/>
  <c r="I77" i="152"/>
  <c r="I85" i="152" s="1"/>
  <c r="I21" i="152"/>
  <c r="I29" i="152" s="1"/>
  <c r="I189" i="152"/>
  <c r="I197" i="152" s="1"/>
  <c r="I67" i="144"/>
  <c r="K42" i="144"/>
  <c r="K98" i="144"/>
  <c r="K154" i="144"/>
  <c r="K210" i="144"/>
  <c r="J176" i="144"/>
  <c r="J120" i="144"/>
  <c r="J64" i="144"/>
  <c r="J8" i="144"/>
  <c r="J172" i="144"/>
  <c r="J4" i="144"/>
  <c r="J116" i="144"/>
  <c r="J60" i="144"/>
  <c r="J44" i="152"/>
  <c r="J156" i="152"/>
  <c r="J212" i="152"/>
  <c r="J100" i="152"/>
  <c r="J122" i="152"/>
  <c r="J10" i="152"/>
  <c r="J178" i="152"/>
  <c r="J66" i="152"/>
  <c r="J61" i="144"/>
  <c r="J5" i="144"/>
  <c r="J173" i="144"/>
  <c r="J117" i="144"/>
  <c r="J139" i="152"/>
  <c r="J195" i="152"/>
  <c r="J27" i="152"/>
  <c r="J83" i="152"/>
  <c r="J208" i="152"/>
  <c r="J152" i="152"/>
  <c r="J96" i="152"/>
  <c r="J40" i="152"/>
  <c r="J134" i="144"/>
  <c r="J190" i="144"/>
  <c r="J78" i="144"/>
  <c r="J22" i="144"/>
  <c r="J176" i="152"/>
  <c r="J120" i="152"/>
  <c r="J8" i="152"/>
  <c r="J64" i="152"/>
  <c r="J193" i="152"/>
  <c r="J137" i="152"/>
  <c r="J81" i="152"/>
  <c r="J25" i="152"/>
  <c r="K194" i="152"/>
  <c r="K138" i="152"/>
  <c r="K82" i="152"/>
  <c r="K26" i="152"/>
  <c r="J60" i="152"/>
  <c r="J4" i="152"/>
  <c r="J172" i="152"/>
  <c r="J116" i="152"/>
  <c r="J211" i="144"/>
  <c r="J99" i="144"/>
  <c r="J43" i="144"/>
  <c r="J155" i="144"/>
  <c r="J192" i="144"/>
  <c r="J80" i="144"/>
  <c r="J24" i="144"/>
  <c r="J136" i="144"/>
  <c r="I133" i="144"/>
  <c r="I141" i="144" s="1"/>
  <c r="I189" i="144"/>
  <c r="I197" i="144" s="1"/>
  <c r="I77" i="144"/>
  <c r="I85" i="144" s="1"/>
  <c r="I21" i="144"/>
  <c r="I29" i="144" s="1"/>
  <c r="K59" i="144"/>
  <c r="K171" i="144"/>
  <c r="K3" i="144"/>
  <c r="K115" i="144"/>
  <c r="K171" i="152"/>
  <c r="K115" i="152"/>
  <c r="K3" i="152"/>
  <c r="K59" i="152"/>
  <c r="J28" i="152"/>
  <c r="J140" i="152"/>
  <c r="J196" i="152"/>
  <c r="J84" i="152"/>
  <c r="J140" i="144"/>
  <c r="J28" i="144"/>
  <c r="J196" i="144"/>
  <c r="J84" i="144"/>
  <c r="I150" i="134"/>
  <c r="J65" i="147"/>
  <c r="K70" i="138"/>
  <c r="J71" i="134"/>
  <c r="K58" i="134"/>
  <c r="K53" i="147"/>
  <c r="M87" i="137"/>
  <c r="M206" i="138"/>
  <c r="N51" i="137"/>
  <c r="K190" i="147"/>
  <c r="K217" i="138"/>
  <c r="K207" i="134"/>
  <c r="K148" i="134"/>
  <c r="N52" i="137"/>
  <c r="M207" i="138"/>
  <c r="M88" i="137"/>
  <c r="K136" i="147"/>
  <c r="L51" i="147"/>
  <c r="L56" i="134"/>
  <c r="L68" i="138"/>
  <c r="K62" i="147"/>
  <c r="K61" i="147"/>
  <c r="K204" i="147"/>
  <c r="K130" i="147"/>
  <c r="K132" i="147"/>
  <c r="M129" i="138"/>
  <c r="M76" i="137"/>
  <c r="N40" i="137"/>
  <c r="K206" i="147"/>
  <c r="J202" i="147"/>
  <c r="L52" i="134"/>
  <c r="L64" i="138"/>
  <c r="L47" i="147"/>
  <c r="K128" i="134"/>
  <c r="K139" i="138"/>
  <c r="K148" i="138" s="1"/>
  <c r="K136" i="138"/>
  <c r="K117" i="147"/>
  <c r="K153" i="138"/>
  <c r="L134" i="147"/>
  <c r="K65" i="134"/>
  <c r="J220" i="134"/>
  <c r="L121" i="147"/>
  <c r="L132" i="134"/>
  <c r="L143" i="138"/>
  <c r="K225" i="134"/>
  <c r="K59" i="147"/>
  <c r="M220" i="138"/>
  <c r="M210" i="134"/>
  <c r="M193" i="147"/>
  <c r="K57" i="147"/>
  <c r="K207" i="147"/>
  <c r="K63" i="147"/>
  <c r="M77" i="137"/>
  <c r="M130" i="138"/>
  <c r="N41" i="137"/>
  <c r="K143" i="134"/>
  <c r="M52" i="138"/>
  <c r="M65" i="137"/>
  <c r="N29" i="137"/>
  <c r="L74" i="137"/>
  <c r="L82" i="137" s="1"/>
  <c r="L127" i="138"/>
  <c r="K133" i="147"/>
  <c r="N31" i="137"/>
  <c r="M54" i="138"/>
  <c r="M67" i="137"/>
  <c r="K66" i="134"/>
  <c r="K208" i="147"/>
  <c r="M90" i="137"/>
  <c r="M209" i="138"/>
  <c r="N54" i="137"/>
  <c r="L49" i="147"/>
  <c r="L54" i="134"/>
  <c r="L66" i="138"/>
  <c r="L123" i="147"/>
  <c r="L145" i="138"/>
  <c r="L134" i="134"/>
  <c r="K68" i="134"/>
  <c r="L118" i="147"/>
  <c r="L129" i="134"/>
  <c r="L140" i="138"/>
  <c r="K144" i="134"/>
  <c r="L120" i="147"/>
  <c r="L142" i="138"/>
  <c r="L131" i="134"/>
  <c r="K131" i="147"/>
  <c r="N45" i="137"/>
  <c r="M134" i="138"/>
  <c r="M81" i="137"/>
  <c r="L146" i="134"/>
  <c r="K63" i="134"/>
  <c r="L67" i="138"/>
  <c r="L55" i="134"/>
  <c r="L50" i="147"/>
  <c r="N56" i="137"/>
  <c r="M92" i="137"/>
  <c r="M211" i="138"/>
  <c r="K226" i="134"/>
  <c r="L221" i="138"/>
  <c r="L211" i="134"/>
  <c r="L194" i="147"/>
  <c r="L223" i="134"/>
  <c r="K142" i="134"/>
  <c r="K222" i="134"/>
  <c r="L48" i="147"/>
  <c r="L53" i="134"/>
  <c r="L65" i="138"/>
  <c r="K224" i="134"/>
  <c r="N30" i="137"/>
  <c r="M66" i="137"/>
  <c r="M53" i="138"/>
  <c r="L119" i="147"/>
  <c r="L130" i="134"/>
  <c r="L141" i="138"/>
  <c r="J141" i="134"/>
  <c r="J155" i="134"/>
  <c r="J157" i="134" s="1"/>
  <c r="J137" i="134"/>
  <c r="M133" i="138"/>
  <c r="M80" i="137"/>
  <c r="N44" i="137"/>
  <c r="K58" i="147"/>
  <c r="M64" i="137"/>
  <c r="N28" i="137"/>
  <c r="M51" i="138"/>
  <c r="K69" i="134"/>
  <c r="L219" i="138"/>
  <c r="L209" i="134"/>
  <c r="L192" i="147"/>
  <c r="L58" i="137"/>
  <c r="M50" i="137"/>
  <c r="L205" i="138"/>
  <c r="L86" i="137"/>
  <c r="M56" i="138"/>
  <c r="M69" i="137"/>
  <c r="N33" i="137"/>
  <c r="K67" i="134"/>
  <c r="N39" i="137"/>
  <c r="M128" i="138"/>
  <c r="M75" i="137"/>
  <c r="K135" i="147"/>
  <c r="L124" i="147"/>
  <c r="L146" i="138"/>
  <c r="L135" i="134"/>
  <c r="K147" i="134"/>
  <c r="K70" i="147"/>
  <c r="K72" i="147" s="1"/>
  <c r="K145" i="134"/>
  <c r="J129" i="147"/>
  <c r="J126" i="147"/>
  <c r="J143" i="147"/>
  <c r="J145" i="147" s="1"/>
  <c r="K76" i="134"/>
  <c r="K78" i="134" s="1"/>
  <c r="K60" i="147"/>
  <c r="L196" i="147"/>
  <c r="L223" i="138"/>
  <c r="L213" i="134"/>
  <c r="M122" i="147"/>
  <c r="M133" i="134"/>
  <c r="M144" i="138"/>
  <c r="N32" i="137"/>
  <c r="M55" i="138"/>
  <c r="M68" i="137"/>
  <c r="O43" i="137"/>
  <c r="N132" i="138"/>
  <c r="N79" i="137"/>
  <c r="K64" i="134"/>
  <c r="L46" i="147"/>
  <c r="L63" i="138"/>
  <c r="L51" i="134"/>
  <c r="L56" i="147"/>
  <c r="M44" i="147"/>
  <c r="L62" i="134"/>
  <c r="M61" i="138"/>
  <c r="M49" i="134"/>
  <c r="O26" i="137"/>
  <c r="N49" i="138"/>
  <c r="N62" i="137"/>
  <c r="D46" i="137"/>
  <c r="J226" i="138" l="1"/>
  <c r="M91" i="137"/>
  <c r="N55" i="137"/>
  <c r="N210" i="138" s="1"/>
  <c r="L212" i="134"/>
  <c r="L225" i="134" s="1"/>
  <c r="L195" i="147"/>
  <c r="L207" i="147" s="1"/>
  <c r="J44" i="144"/>
  <c r="J156" i="144"/>
  <c r="J212" i="144"/>
  <c r="I215" i="152"/>
  <c r="J208" i="144"/>
  <c r="J96" i="144"/>
  <c r="J40" i="144"/>
  <c r="L94" i="137"/>
  <c r="L191" i="147"/>
  <c r="L203" i="147" s="1"/>
  <c r="L208" i="134"/>
  <c r="L221" i="134" s="1"/>
  <c r="K208" i="134"/>
  <c r="K221" i="134" s="1"/>
  <c r="K208" i="144" s="1"/>
  <c r="K191" i="147"/>
  <c r="K203" i="147" s="1"/>
  <c r="K208" i="152" s="1"/>
  <c r="N208" i="138"/>
  <c r="N193" i="147" s="1"/>
  <c r="N89" i="137"/>
  <c r="K98" i="152"/>
  <c r="K42" i="152"/>
  <c r="K214" i="138"/>
  <c r="K226" i="138"/>
  <c r="K231" i="138"/>
  <c r="K154" i="152"/>
  <c r="L75" i="138"/>
  <c r="L45" i="147"/>
  <c r="L70" i="147" s="1"/>
  <c r="L72" i="147" s="1"/>
  <c r="L62" i="138"/>
  <c r="L70" i="138" s="1"/>
  <c r="I103" i="152"/>
  <c r="L50" i="134"/>
  <c r="L63" i="134" s="1"/>
  <c r="N27" i="137"/>
  <c r="N50" i="138" s="1"/>
  <c r="M34" i="137"/>
  <c r="I215" i="144"/>
  <c r="M50" i="138"/>
  <c r="M45" i="147" s="1"/>
  <c r="I159" i="152"/>
  <c r="I47" i="144"/>
  <c r="I47" i="152"/>
  <c r="J158" i="144"/>
  <c r="J216" i="147"/>
  <c r="J218" i="147" s="1"/>
  <c r="J199" i="147"/>
  <c r="I103" i="144"/>
  <c r="J158" i="152"/>
  <c r="J102" i="152"/>
  <c r="J216" i="134"/>
  <c r="J214" i="144"/>
  <c r="J46" i="144"/>
  <c r="J234" i="134"/>
  <c r="J236" i="134" s="1"/>
  <c r="J46" i="152"/>
  <c r="K224" i="138"/>
  <c r="K197" i="147"/>
  <c r="K209" i="147" s="1"/>
  <c r="K214" i="152" s="1"/>
  <c r="K214" i="134"/>
  <c r="K227" i="134" s="1"/>
  <c r="K46" i="144" s="1"/>
  <c r="L93" i="137"/>
  <c r="L212" i="138"/>
  <c r="M57" i="137"/>
  <c r="J123" i="144"/>
  <c r="J179" i="152"/>
  <c r="J123" i="152"/>
  <c r="J11" i="144"/>
  <c r="L194" i="152"/>
  <c r="L138" i="152"/>
  <c r="L82" i="152"/>
  <c r="L26" i="152"/>
  <c r="L82" i="144"/>
  <c r="L26" i="144"/>
  <c r="L138" i="144"/>
  <c r="L194" i="144"/>
  <c r="K177" i="152"/>
  <c r="K9" i="152"/>
  <c r="K65" i="152"/>
  <c r="K121" i="152"/>
  <c r="K60" i="152"/>
  <c r="K4" i="152"/>
  <c r="K172" i="152"/>
  <c r="K116" i="152"/>
  <c r="K45" i="152"/>
  <c r="K157" i="152"/>
  <c r="K213" i="152"/>
  <c r="K101" i="152"/>
  <c r="K66" i="144"/>
  <c r="K10" i="144"/>
  <c r="K122" i="144"/>
  <c r="K178" i="144"/>
  <c r="K193" i="152"/>
  <c r="K137" i="152"/>
  <c r="K81" i="152"/>
  <c r="K25" i="152"/>
  <c r="J211" i="147"/>
  <c r="J151" i="152"/>
  <c r="J207" i="152"/>
  <c r="J215" i="152" s="1"/>
  <c r="J39" i="152"/>
  <c r="J95" i="152"/>
  <c r="K177" i="144"/>
  <c r="K9" i="144"/>
  <c r="K65" i="144"/>
  <c r="K121" i="144"/>
  <c r="L42" i="152"/>
  <c r="L154" i="152"/>
  <c r="L98" i="152"/>
  <c r="L210" i="152"/>
  <c r="K122" i="152"/>
  <c r="K10" i="152"/>
  <c r="K66" i="152"/>
  <c r="K178" i="152"/>
  <c r="K137" i="144"/>
  <c r="K81" i="144"/>
  <c r="K193" i="144"/>
  <c r="K25" i="144"/>
  <c r="K61" i="144"/>
  <c r="K117" i="144"/>
  <c r="K5" i="144"/>
  <c r="K173" i="144"/>
  <c r="L210" i="144"/>
  <c r="L42" i="144"/>
  <c r="L154" i="144"/>
  <c r="L98" i="144"/>
  <c r="K62" i="152"/>
  <c r="K6" i="152"/>
  <c r="K118" i="152"/>
  <c r="K174" i="152"/>
  <c r="J179" i="144"/>
  <c r="K192" i="144"/>
  <c r="K80" i="144"/>
  <c r="K136" i="144"/>
  <c r="K24" i="144"/>
  <c r="K140" i="144"/>
  <c r="K196" i="144"/>
  <c r="K28" i="144"/>
  <c r="K84" i="144"/>
  <c r="K211" i="152"/>
  <c r="K155" i="152"/>
  <c r="K99" i="152"/>
  <c r="K43" i="152"/>
  <c r="K153" i="144"/>
  <c r="K41" i="144"/>
  <c r="K97" i="144"/>
  <c r="K209" i="144"/>
  <c r="K191" i="144"/>
  <c r="K135" i="144"/>
  <c r="K79" i="144"/>
  <c r="K23" i="144"/>
  <c r="J67" i="152"/>
  <c r="K78" i="152"/>
  <c r="K22" i="152"/>
  <c r="K134" i="152"/>
  <c r="K190" i="152"/>
  <c r="J189" i="144"/>
  <c r="J197" i="144" s="1"/>
  <c r="J133" i="144"/>
  <c r="J141" i="144" s="1"/>
  <c r="J77" i="144"/>
  <c r="J85" i="144" s="1"/>
  <c r="J21" i="144"/>
  <c r="J29" i="144" s="1"/>
  <c r="K195" i="144"/>
  <c r="K139" i="144"/>
  <c r="K27" i="144"/>
  <c r="K83" i="144"/>
  <c r="K84" i="152"/>
  <c r="K28" i="152"/>
  <c r="K140" i="152"/>
  <c r="K196" i="152"/>
  <c r="K213" i="144"/>
  <c r="K101" i="144"/>
  <c r="K157" i="144"/>
  <c r="K45" i="144"/>
  <c r="J67" i="144"/>
  <c r="K156" i="144"/>
  <c r="K212" i="144"/>
  <c r="K100" i="144"/>
  <c r="K44" i="144"/>
  <c r="K176" i="144"/>
  <c r="K120" i="144"/>
  <c r="K64" i="144"/>
  <c r="K8" i="144"/>
  <c r="K190" i="144"/>
  <c r="K134" i="144"/>
  <c r="K78" i="144"/>
  <c r="K22" i="144"/>
  <c r="K175" i="152"/>
  <c r="K119" i="152"/>
  <c r="K63" i="152"/>
  <c r="K7" i="152"/>
  <c r="J229" i="134"/>
  <c r="J151" i="144"/>
  <c r="J95" i="144"/>
  <c r="J39" i="144"/>
  <c r="J207" i="144"/>
  <c r="L171" i="152"/>
  <c r="L115" i="152"/>
  <c r="L3" i="152"/>
  <c r="L59" i="152"/>
  <c r="K97" i="152"/>
  <c r="K153" i="152"/>
  <c r="K41" i="152"/>
  <c r="K209" i="152"/>
  <c r="J138" i="147"/>
  <c r="J77" i="152"/>
  <c r="J85" i="152" s="1"/>
  <c r="J133" i="152"/>
  <c r="J141" i="152" s="1"/>
  <c r="J189" i="152"/>
  <c r="J197" i="152" s="1"/>
  <c r="J21" i="152"/>
  <c r="J29" i="152" s="1"/>
  <c r="K176" i="152"/>
  <c r="K120" i="152"/>
  <c r="K64" i="152"/>
  <c r="K8" i="152"/>
  <c r="K44" i="152"/>
  <c r="K100" i="152"/>
  <c r="K212" i="152"/>
  <c r="K156" i="152"/>
  <c r="K135" i="152"/>
  <c r="K79" i="152"/>
  <c r="K23" i="152"/>
  <c r="K191" i="152"/>
  <c r="K7" i="144"/>
  <c r="K63" i="144"/>
  <c r="K119" i="144"/>
  <c r="K175" i="144"/>
  <c r="K139" i="152"/>
  <c r="K27" i="152"/>
  <c r="K83" i="152"/>
  <c r="K195" i="152"/>
  <c r="K211" i="144"/>
  <c r="K99" i="144"/>
  <c r="K43" i="144"/>
  <c r="K155" i="144"/>
  <c r="K172" i="144"/>
  <c r="K116" i="144"/>
  <c r="K60" i="144"/>
  <c r="K4" i="144"/>
  <c r="K117" i="152"/>
  <c r="K61" i="152"/>
  <c r="K173" i="152"/>
  <c r="K5" i="152"/>
  <c r="L59" i="144"/>
  <c r="L171" i="144"/>
  <c r="L115" i="144"/>
  <c r="L3" i="144"/>
  <c r="K118" i="144"/>
  <c r="K62" i="144"/>
  <c r="K174" i="144"/>
  <c r="K6" i="144"/>
  <c r="K192" i="152"/>
  <c r="K24" i="152"/>
  <c r="K136" i="152"/>
  <c r="K80" i="152"/>
  <c r="J11" i="152"/>
  <c r="J150" i="134"/>
  <c r="M70" i="137"/>
  <c r="K71" i="134"/>
  <c r="K65" i="147"/>
  <c r="L130" i="147"/>
  <c r="M49" i="147"/>
  <c r="M54" i="134"/>
  <c r="M66" i="138"/>
  <c r="N122" i="147"/>
  <c r="N133" i="134"/>
  <c r="N144" i="138"/>
  <c r="N64" i="137"/>
  <c r="N51" i="138"/>
  <c r="O28" i="137"/>
  <c r="L117" i="147"/>
  <c r="L128" i="134"/>
  <c r="L139" i="138"/>
  <c r="L148" i="138" s="1"/>
  <c r="L136" i="138"/>
  <c r="L153" i="138"/>
  <c r="N68" i="137"/>
  <c r="O32" i="137"/>
  <c r="N55" i="138"/>
  <c r="L131" i="147"/>
  <c r="L147" i="134"/>
  <c r="N65" i="137"/>
  <c r="O29" i="137"/>
  <c r="N52" i="138"/>
  <c r="O208" i="138"/>
  <c r="O89" i="137"/>
  <c r="P53" i="137"/>
  <c r="M53" i="134"/>
  <c r="M65" i="138"/>
  <c r="M48" i="147"/>
  <c r="M209" i="134"/>
  <c r="M192" i="147"/>
  <c r="M219" i="138"/>
  <c r="L206" i="147"/>
  <c r="L135" i="147"/>
  <c r="M64" i="138"/>
  <c r="M47" i="147"/>
  <c r="M52" i="134"/>
  <c r="K143" i="147"/>
  <c r="K145" i="147" s="1"/>
  <c r="K129" i="147"/>
  <c r="K126" i="147"/>
  <c r="N88" i="137"/>
  <c r="N207" i="138"/>
  <c r="O52" i="137"/>
  <c r="M146" i="134"/>
  <c r="N56" i="138"/>
  <c r="O33" i="137"/>
  <c r="N69" i="137"/>
  <c r="N53" i="138"/>
  <c r="N66" i="137"/>
  <c r="O30" i="137"/>
  <c r="L224" i="134"/>
  <c r="M124" i="147"/>
  <c r="M135" i="134"/>
  <c r="M146" i="138"/>
  <c r="L142" i="134"/>
  <c r="M118" i="147"/>
  <c r="M129" i="134"/>
  <c r="M140" i="138"/>
  <c r="N128" i="138"/>
  <c r="O39" i="137"/>
  <c r="N75" i="137"/>
  <c r="L63" i="147"/>
  <c r="P43" i="137"/>
  <c r="O79" i="137"/>
  <c r="O132" i="138"/>
  <c r="M195" i="147"/>
  <c r="M222" i="138"/>
  <c r="M212" i="134"/>
  <c r="M205" i="147"/>
  <c r="M119" i="147"/>
  <c r="M141" i="138"/>
  <c r="M130" i="134"/>
  <c r="M223" i="134"/>
  <c r="M67" i="138"/>
  <c r="M50" i="147"/>
  <c r="M55" i="134"/>
  <c r="L143" i="134"/>
  <c r="M134" i="147"/>
  <c r="O45" i="137"/>
  <c r="N134" i="138"/>
  <c r="N81" i="137"/>
  <c r="L67" i="134"/>
  <c r="L226" i="134"/>
  <c r="M51" i="147"/>
  <c r="M68" i="138"/>
  <c r="M56" i="134"/>
  <c r="L61" i="147"/>
  <c r="K155" i="134"/>
  <c r="K157" i="134" s="1"/>
  <c r="K141" i="134"/>
  <c r="K137" i="134"/>
  <c r="N133" i="138"/>
  <c r="N80" i="137"/>
  <c r="O44" i="137"/>
  <c r="O54" i="137"/>
  <c r="N209" i="138"/>
  <c r="N90" i="137"/>
  <c r="L59" i="147"/>
  <c r="M63" i="138"/>
  <c r="M46" i="147"/>
  <c r="M51" i="134"/>
  <c r="N54" i="138"/>
  <c r="N67" i="137"/>
  <c r="O31" i="137"/>
  <c r="L214" i="138"/>
  <c r="L217" i="138"/>
  <c r="L226" i="138" s="1"/>
  <c r="L231" i="138"/>
  <c r="L207" i="134"/>
  <c r="L190" i="147"/>
  <c r="L66" i="134"/>
  <c r="M196" i="147"/>
  <c r="M223" i="138"/>
  <c r="M213" i="134"/>
  <c r="K220" i="134"/>
  <c r="N92" i="137"/>
  <c r="O56" i="137"/>
  <c r="N211" i="138"/>
  <c r="M120" i="147"/>
  <c r="M142" i="138"/>
  <c r="M131" i="134"/>
  <c r="L133" i="147"/>
  <c r="K202" i="147"/>
  <c r="L64" i="134"/>
  <c r="L136" i="147"/>
  <c r="L204" i="147"/>
  <c r="L62" i="147"/>
  <c r="O51" i="137"/>
  <c r="N87" i="137"/>
  <c r="N206" i="138"/>
  <c r="O40" i="137"/>
  <c r="N76" i="137"/>
  <c r="N129" i="138"/>
  <c r="L208" i="147"/>
  <c r="L144" i="134"/>
  <c r="M221" i="138"/>
  <c r="M194" i="147"/>
  <c r="M211" i="134"/>
  <c r="M86" i="137"/>
  <c r="M205" i="138"/>
  <c r="M58" i="137"/>
  <c r="N50" i="137"/>
  <c r="M123" i="147"/>
  <c r="M145" i="138"/>
  <c r="M134" i="134"/>
  <c r="L145" i="134"/>
  <c r="L222" i="134"/>
  <c r="L68" i="134"/>
  <c r="M218" i="138"/>
  <c r="M191" i="147"/>
  <c r="M208" i="134"/>
  <c r="L69" i="134"/>
  <c r="L148" i="134"/>
  <c r="L60" i="147"/>
  <c r="O41" i="137"/>
  <c r="N77" i="137"/>
  <c r="N130" i="138"/>
  <c r="L65" i="134"/>
  <c r="L132" i="147"/>
  <c r="L58" i="147"/>
  <c r="N44" i="147"/>
  <c r="M56" i="147"/>
  <c r="M62" i="134"/>
  <c r="N61" i="138"/>
  <c r="N49" i="134"/>
  <c r="O62" i="137"/>
  <c r="O49" i="138"/>
  <c r="P26" i="137"/>
  <c r="E46" i="137"/>
  <c r="N91" i="137" l="1"/>
  <c r="O55" i="137"/>
  <c r="O210" i="138" s="1"/>
  <c r="J103" i="144"/>
  <c r="M94" i="137"/>
  <c r="N210" i="134"/>
  <c r="N223" i="134" s="1"/>
  <c r="N220" i="138"/>
  <c r="K96" i="152"/>
  <c r="K40" i="152"/>
  <c r="K152" i="152"/>
  <c r="K96" i="144"/>
  <c r="K152" i="144"/>
  <c r="K40" i="144"/>
  <c r="L53" i="147"/>
  <c r="L57" i="147"/>
  <c r="L60" i="152" s="1"/>
  <c r="L76" i="134"/>
  <c r="L78" i="134" s="1"/>
  <c r="L58" i="134"/>
  <c r="N34" i="137"/>
  <c r="N63" i="137"/>
  <c r="N70" i="137" s="1"/>
  <c r="J159" i="144"/>
  <c r="M62" i="138"/>
  <c r="M70" i="138" s="1"/>
  <c r="M50" i="134"/>
  <c r="M76" i="134" s="1"/>
  <c r="M78" i="134" s="1"/>
  <c r="J159" i="152"/>
  <c r="M75" i="138"/>
  <c r="M58" i="138"/>
  <c r="O27" i="137"/>
  <c r="O63" i="137" s="1"/>
  <c r="J47" i="144"/>
  <c r="J47" i="152"/>
  <c r="J215" i="144"/>
  <c r="J103" i="152"/>
  <c r="K216" i="134"/>
  <c r="K234" i="134"/>
  <c r="K236" i="134" s="1"/>
  <c r="K102" i="152"/>
  <c r="K199" i="147"/>
  <c r="K158" i="152"/>
  <c r="K216" i="147"/>
  <c r="K218" i="147" s="1"/>
  <c r="K158" i="144"/>
  <c r="K46" i="152"/>
  <c r="K214" i="144"/>
  <c r="K102" i="144"/>
  <c r="L224" i="138"/>
  <c r="L214" i="134"/>
  <c r="L227" i="134" s="1"/>
  <c r="L214" i="144" s="1"/>
  <c r="L197" i="147"/>
  <c r="L209" i="147" s="1"/>
  <c r="L46" i="152" s="1"/>
  <c r="N57" i="137"/>
  <c r="M93" i="137"/>
  <c r="M212" i="138"/>
  <c r="K123" i="144"/>
  <c r="K67" i="152"/>
  <c r="K123" i="152"/>
  <c r="K11" i="144"/>
  <c r="K67" i="144"/>
  <c r="K179" i="144"/>
  <c r="K179" i="152"/>
  <c r="K11" i="152"/>
  <c r="L60" i="144"/>
  <c r="L172" i="144"/>
  <c r="L116" i="144"/>
  <c r="L4" i="144"/>
  <c r="L45" i="152"/>
  <c r="L157" i="152"/>
  <c r="L213" i="152"/>
  <c r="L101" i="152"/>
  <c r="M194" i="152"/>
  <c r="M82" i="152"/>
  <c r="M26" i="152"/>
  <c r="M138" i="152"/>
  <c r="L212" i="144"/>
  <c r="L156" i="144"/>
  <c r="L44" i="144"/>
  <c r="L100" i="144"/>
  <c r="L177" i="144"/>
  <c r="L65" i="144"/>
  <c r="L9" i="144"/>
  <c r="L121" i="144"/>
  <c r="L209" i="144"/>
  <c r="L41" i="144"/>
  <c r="L97" i="144"/>
  <c r="L153" i="144"/>
  <c r="K138" i="147"/>
  <c r="K77" i="152"/>
  <c r="K85" i="152" s="1"/>
  <c r="K189" i="152"/>
  <c r="K197" i="152" s="1"/>
  <c r="K133" i="152"/>
  <c r="K141" i="152" s="1"/>
  <c r="K21" i="152"/>
  <c r="K29" i="152" s="1"/>
  <c r="L84" i="152"/>
  <c r="L28" i="152"/>
  <c r="L196" i="152"/>
  <c r="L140" i="152"/>
  <c r="K189" i="144"/>
  <c r="K197" i="144" s="1"/>
  <c r="K21" i="144"/>
  <c r="K29" i="144" s="1"/>
  <c r="K77" i="144"/>
  <c r="K85" i="144" s="1"/>
  <c r="K133" i="144"/>
  <c r="K141" i="144" s="1"/>
  <c r="M42" i="152"/>
  <c r="M154" i="152"/>
  <c r="M210" i="152"/>
  <c r="M98" i="152"/>
  <c r="L24" i="152"/>
  <c r="L192" i="152"/>
  <c r="L136" i="152"/>
  <c r="L80" i="152"/>
  <c r="L43" i="144"/>
  <c r="L211" i="144"/>
  <c r="L99" i="144"/>
  <c r="L155" i="144"/>
  <c r="L176" i="144"/>
  <c r="L120" i="144"/>
  <c r="L64" i="144"/>
  <c r="L8" i="144"/>
  <c r="L192" i="144"/>
  <c r="L136" i="144"/>
  <c r="L80" i="144"/>
  <c r="L24" i="144"/>
  <c r="L140" i="144"/>
  <c r="L84" i="144"/>
  <c r="L196" i="144"/>
  <c r="L28" i="144"/>
  <c r="L6" i="152"/>
  <c r="L118" i="152"/>
  <c r="L62" i="152"/>
  <c r="L174" i="152"/>
  <c r="L66" i="144"/>
  <c r="L10" i="144"/>
  <c r="L178" i="144"/>
  <c r="L122" i="144"/>
  <c r="L175" i="144"/>
  <c r="L63" i="144"/>
  <c r="L7" i="144"/>
  <c r="L119" i="144"/>
  <c r="L61" i="144"/>
  <c r="L117" i="144"/>
  <c r="L173" i="144"/>
  <c r="L5" i="144"/>
  <c r="M210" i="144"/>
  <c r="M154" i="144"/>
  <c r="M42" i="144"/>
  <c r="M98" i="144"/>
  <c r="L195" i="144"/>
  <c r="L27" i="144"/>
  <c r="L139" i="144"/>
  <c r="L83" i="144"/>
  <c r="L117" i="152"/>
  <c r="L61" i="152"/>
  <c r="L173" i="152"/>
  <c r="L5" i="152"/>
  <c r="L195" i="152"/>
  <c r="L139" i="152"/>
  <c r="L83" i="152"/>
  <c r="L27" i="152"/>
  <c r="L101" i="144"/>
  <c r="L213" i="144"/>
  <c r="L45" i="144"/>
  <c r="L157" i="144"/>
  <c r="L62" i="144"/>
  <c r="L118" i="144"/>
  <c r="L174" i="144"/>
  <c r="L6" i="144"/>
  <c r="L212" i="152"/>
  <c r="L156" i="152"/>
  <c r="L100" i="152"/>
  <c r="L44" i="152"/>
  <c r="L7" i="152"/>
  <c r="L119" i="152"/>
  <c r="L63" i="152"/>
  <c r="L175" i="152"/>
  <c r="K229" i="134"/>
  <c r="K151" i="144"/>
  <c r="K95" i="144"/>
  <c r="K207" i="144"/>
  <c r="K39" i="144"/>
  <c r="M138" i="144"/>
  <c r="M82" i="144"/>
  <c r="M26" i="144"/>
  <c r="M194" i="144"/>
  <c r="L135" i="144"/>
  <c r="L79" i="144"/>
  <c r="L23" i="144"/>
  <c r="L191" i="144"/>
  <c r="L97" i="152"/>
  <c r="L41" i="152"/>
  <c r="L209" i="152"/>
  <c r="L153" i="152"/>
  <c r="M3" i="144"/>
  <c r="M115" i="144"/>
  <c r="M59" i="144"/>
  <c r="M171" i="144"/>
  <c r="L176" i="152"/>
  <c r="L120" i="152"/>
  <c r="L64" i="152"/>
  <c r="L8" i="152"/>
  <c r="L190" i="144"/>
  <c r="L134" i="144"/>
  <c r="L78" i="144"/>
  <c r="L22" i="144"/>
  <c r="L191" i="152"/>
  <c r="L79" i="152"/>
  <c r="L23" i="152"/>
  <c r="L135" i="152"/>
  <c r="L137" i="152"/>
  <c r="L25" i="152"/>
  <c r="L81" i="152"/>
  <c r="L193" i="152"/>
  <c r="L211" i="152"/>
  <c r="L155" i="152"/>
  <c r="L99" i="152"/>
  <c r="L43" i="152"/>
  <c r="L134" i="152"/>
  <c r="L22" i="152"/>
  <c r="L190" i="152"/>
  <c r="L78" i="152"/>
  <c r="L122" i="152"/>
  <c r="L10" i="152"/>
  <c r="L178" i="152"/>
  <c r="L66" i="152"/>
  <c r="L208" i="144"/>
  <c r="L96" i="144"/>
  <c r="L152" i="144"/>
  <c r="L40" i="144"/>
  <c r="L177" i="152"/>
  <c r="L121" i="152"/>
  <c r="L65" i="152"/>
  <c r="L9" i="152"/>
  <c r="L137" i="144"/>
  <c r="L193" i="144"/>
  <c r="L25" i="144"/>
  <c r="L81" i="144"/>
  <c r="M115" i="152"/>
  <c r="M171" i="152"/>
  <c r="M3" i="152"/>
  <c r="M59" i="152"/>
  <c r="K211" i="147"/>
  <c r="K151" i="152"/>
  <c r="K207" i="152"/>
  <c r="K215" i="152" s="1"/>
  <c r="K95" i="152"/>
  <c r="K39" i="152"/>
  <c r="L208" i="152"/>
  <c r="L152" i="152"/>
  <c r="L40" i="152"/>
  <c r="L96" i="152"/>
  <c r="K150" i="134"/>
  <c r="L71" i="134"/>
  <c r="M53" i="147"/>
  <c r="M203" i="147"/>
  <c r="N123" i="147"/>
  <c r="N145" i="138"/>
  <c r="N134" i="134"/>
  <c r="M204" i="147"/>
  <c r="O207" i="138"/>
  <c r="O88" i="137"/>
  <c r="P52" i="137"/>
  <c r="M222" i="134"/>
  <c r="N119" i="147"/>
  <c r="N141" i="138"/>
  <c r="N130" i="134"/>
  <c r="N63" i="138"/>
  <c r="N46" i="147"/>
  <c r="N51" i="134"/>
  <c r="M132" i="147"/>
  <c r="N208" i="134"/>
  <c r="N218" i="138"/>
  <c r="N191" i="147"/>
  <c r="N223" i="138"/>
  <c r="N196" i="147"/>
  <c r="N213" i="134"/>
  <c r="O91" i="137"/>
  <c r="N146" i="134"/>
  <c r="M147" i="134"/>
  <c r="M58" i="147"/>
  <c r="P89" i="137"/>
  <c r="P208" i="138"/>
  <c r="Q53" i="137"/>
  <c r="M135" i="147"/>
  <c r="M69" i="134"/>
  <c r="M136" i="147"/>
  <c r="N62" i="138"/>
  <c r="N45" i="147"/>
  <c r="N50" i="134"/>
  <c r="M67" i="134"/>
  <c r="O77" i="137"/>
  <c r="O130" i="138"/>
  <c r="P41" i="137"/>
  <c r="N205" i="138"/>
  <c r="N86" i="137"/>
  <c r="O50" i="137"/>
  <c r="N58" i="137"/>
  <c r="Q43" i="137"/>
  <c r="P79" i="137"/>
  <c r="P132" i="138"/>
  <c r="M65" i="134"/>
  <c r="O210" i="134"/>
  <c r="O193" i="147"/>
  <c r="O220" i="138"/>
  <c r="M61" i="147"/>
  <c r="N58" i="138"/>
  <c r="M63" i="147"/>
  <c r="M59" i="147"/>
  <c r="N64" i="138"/>
  <c r="N47" i="147"/>
  <c r="N52" i="134"/>
  <c r="M190" i="147"/>
  <c r="M231" i="138"/>
  <c r="M217" i="138"/>
  <c r="M226" i="138" s="1"/>
  <c r="M207" i="134"/>
  <c r="M214" i="138"/>
  <c r="M226" i="134"/>
  <c r="N205" i="147"/>
  <c r="O53" i="138"/>
  <c r="O66" i="137"/>
  <c r="P30" i="137"/>
  <c r="P29" i="137"/>
  <c r="O52" i="138"/>
  <c r="O65" i="137"/>
  <c r="P40" i="137"/>
  <c r="O76" i="137"/>
  <c r="O129" i="138"/>
  <c r="P31" i="137"/>
  <c r="O67" i="137"/>
  <c r="O54" i="138"/>
  <c r="M225" i="134"/>
  <c r="O134" i="138"/>
  <c r="O81" i="137"/>
  <c r="P45" i="137"/>
  <c r="P32" i="137"/>
  <c r="O68" i="137"/>
  <c r="O55" i="138"/>
  <c r="N209" i="134"/>
  <c r="N192" i="147"/>
  <c r="N219" i="138"/>
  <c r="M64" i="134"/>
  <c r="O122" i="147"/>
  <c r="O133" i="134"/>
  <c r="O144" i="138"/>
  <c r="M206" i="147"/>
  <c r="N211" i="134"/>
  <c r="N194" i="147"/>
  <c r="N221" i="138"/>
  <c r="O69" i="137"/>
  <c r="O56" i="138"/>
  <c r="P33" i="137"/>
  <c r="M70" i="147"/>
  <c r="M72" i="147" s="1"/>
  <c r="O206" i="138"/>
  <c r="P51" i="137"/>
  <c r="O87" i="137"/>
  <c r="N120" i="147"/>
  <c r="N131" i="134"/>
  <c r="N142" i="138"/>
  <c r="M148" i="134"/>
  <c r="L202" i="147"/>
  <c r="M131" i="147"/>
  <c r="M142" i="134"/>
  <c r="N51" i="147"/>
  <c r="N56" i="134"/>
  <c r="N68" i="138"/>
  <c r="L155" i="134"/>
  <c r="L157" i="134" s="1"/>
  <c r="L141" i="134"/>
  <c r="L137" i="134"/>
  <c r="M57" i="147"/>
  <c r="N124" i="147"/>
  <c r="N135" i="134"/>
  <c r="N146" i="138"/>
  <c r="N50" i="147"/>
  <c r="N67" i="138"/>
  <c r="N55" i="134"/>
  <c r="M144" i="134"/>
  <c r="M207" i="147"/>
  <c r="M60" i="147"/>
  <c r="P28" i="137"/>
  <c r="O51" i="138"/>
  <c r="O64" i="137"/>
  <c r="M66" i="134"/>
  <c r="P56" i="137"/>
  <c r="O92" i="137"/>
  <c r="O211" i="138"/>
  <c r="N49" i="147"/>
  <c r="N66" i="138"/>
  <c r="N54" i="134"/>
  <c r="N222" i="138"/>
  <c r="N212" i="134"/>
  <c r="N195" i="147"/>
  <c r="M68" i="134"/>
  <c r="N134" i="147"/>
  <c r="M62" i="147"/>
  <c r="M208" i="147"/>
  <c r="O75" i="137"/>
  <c r="O128" i="138"/>
  <c r="P39" i="137"/>
  <c r="N65" i="138"/>
  <c r="N53" i="134"/>
  <c r="N48" i="147"/>
  <c r="M224" i="134"/>
  <c r="M143" i="134"/>
  <c r="N118" i="147"/>
  <c r="N129" i="134"/>
  <c r="N140" i="138"/>
  <c r="N75" i="138"/>
  <c r="O90" i="137"/>
  <c r="P54" i="137"/>
  <c r="O209" i="138"/>
  <c r="M221" i="134"/>
  <c r="L220" i="134"/>
  <c r="P44" i="137"/>
  <c r="O80" i="137"/>
  <c r="O133" i="138"/>
  <c r="M130" i="147"/>
  <c r="L143" i="147"/>
  <c r="L145" i="147" s="1"/>
  <c r="L129" i="147"/>
  <c r="L126" i="147"/>
  <c r="N56" i="147"/>
  <c r="O44" i="147"/>
  <c r="N62" i="134"/>
  <c r="O61" i="138"/>
  <c r="O49" i="134"/>
  <c r="P49" i="138"/>
  <c r="P62" i="137"/>
  <c r="Q26" i="137"/>
  <c r="F46" i="137"/>
  <c r="P55" i="137" l="1"/>
  <c r="P91" i="137" s="1"/>
  <c r="N94" i="137"/>
  <c r="K47" i="144"/>
  <c r="L65" i="147"/>
  <c r="L4" i="152"/>
  <c r="L11" i="152" s="1"/>
  <c r="L116" i="152"/>
  <c r="L123" i="152" s="1"/>
  <c r="L172" i="152"/>
  <c r="L179" i="152" s="1"/>
  <c r="M63" i="134"/>
  <c r="M71" i="134" s="1"/>
  <c r="M58" i="134"/>
  <c r="O34" i="137"/>
  <c r="P27" i="137"/>
  <c r="P50" i="138" s="1"/>
  <c r="O50" i="138"/>
  <c r="O50" i="134" s="1"/>
  <c r="L158" i="144"/>
  <c r="K47" i="152"/>
  <c r="L102" i="144"/>
  <c r="L46" i="144"/>
  <c r="K159" i="152"/>
  <c r="L199" i="147"/>
  <c r="K103" i="152"/>
  <c r="L234" i="134"/>
  <c r="L236" i="134" s="1"/>
  <c r="L216" i="134"/>
  <c r="L102" i="152"/>
  <c r="L216" i="147"/>
  <c r="L218" i="147" s="1"/>
  <c r="L158" i="152"/>
  <c r="L214" i="152"/>
  <c r="K159" i="144"/>
  <c r="K215" i="144"/>
  <c r="K103" i="144"/>
  <c r="N212" i="138"/>
  <c r="O57" i="137"/>
  <c r="N93" i="137"/>
  <c r="M197" i="147"/>
  <c r="M209" i="147" s="1"/>
  <c r="M214" i="152" s="1"/>
  <c r="M214" i="134"/>
  <c r="M227" i="134" s="1"/>
  <c r="M214" i="144" s="1"/>
  <c r="M224" i="138"/>
  <c r="L179" i="144"/>
  <c r="L123" i="144"/>
  <c r="L67" i="152"/>
  <c r="L11" i="144"/>
  <c r="L67" i="144"/>
  <c r="M43" i="152"/>
  <c r="M211" i="152"/>
  <c r="M99" i="152"/>
  <c r="M155" i="152"/>
  <c r="M40" i="152"/>
  <c r="M96" i="152"/>
  <c r="M152" i="152"/>
  <c r="M208" i="152"/>
  <c r="M63" i="152"/>
  <c r="M175" i="152"/>
  <c r="M119" i="152"/>
  <c r="M7" i="152"/>
  <c r="L211" i="147"/>
  <c r="L151" i="152"/>
  <c r="L207" i="152"/>
  <c r="L39" i="152"/>
  <c r="L47" i="152" s="1"/>
  <c r="L95" i="152"/>
  <c r="L229" i="134"/>
  <c r="L207" i="144"/>
  <c r="L215" i="144" s="1"/>
  <c r="L151" i="144"/>
  <c r="L95" i="144"/>
  <c r="L39" i="144"/>
  <c r="M212" i="152"/>
  <c r="M156" i="152"/>
  <c r="M100" i="152"/>
  <c r="M44" i="152"/>
  <c r="M196" i="152"/>
  <c r="M140" i="152"/>
  <c r="M84" i="152"/>
  <c r="M28" i="152"/>
  <c r="M152" i="144"/>
  <c r="M208" i="144"/>
  <c r="M96" i="144"/>
  <c r="M40" i="144"/>
  <c r="M213" i="152"/>
  <c r="M157" i="152"/>
  <c r="M101" i="152"/>
  <c r="M45" i="152"/>
  <c r="M192" i="144"/>
  <c r="M136" i="144"/>
  <c r="M80" i="144"/>
  <c r="M24" i="144"/>
  <c r="M196" i="144"/>
  <c r="M84" i="144"/>
  <c r="M28" i="144"/>
  <c r="M140" i="144"/>
  <c r="M120" i="152"/>
  <c r="M176" i="152"/>
  <c r="M8" i="152"/>
  <c r="M64" i="152"/>
  <c r="M178" i="144"/>
  <c r="M66" i="144"/>
  <c r="M122" i="144"/>
  <c r="M10" i="144"/>
  <c r="M136" i="152"/>
  <c r="M192" i="152"/>
  <c r="M24" i="152"/>
  <c r="M80" i="152"/>
  <c r="M41" i="144"/>
  <c r="M153" i="144"/>
  <c r="M97" i="144"/>
  <c r="M209" i="144"/>
  <c r="M5" i="152"/>
  <c r="M117" i="152"/>
  <c r="M61" i="152"/>
  <c r="M173" i="152"/>
  <c r="L189" i="144"/>
  <c r="L197" i="144" s="1"/>
  <c r="L77" i="144"/>
  <c r="L85" i="144" s="1"/>
  <c r="L21" i="144"/>
  <c r="L29" i="144" s="1"/>
  <c r="L133" i="144"/>
  <c r="L141" i="144" s="1"/>
  <c r="M43" i="144"/>
  <c r="M211" i="144"/>
  <c r="M99" i="144"/>
  <c r="M155" i="144"/>
  <c r="M212" i="144"/>
  <c r="M156" i="144"/>
  <c r="M44" i="144"/>
  <c r="M100" i="144"/>
  <c r="M134" i="152"/>
  <c r="M22" i="152"/>
  <c r="M190" i="152"/>
  <c r="M78" i="152"/>
  <c r="M63" i="144"/>
  <c r="M175" i="144"/>
  <c r="M7" i="144"/>
  <c r="M119" i="144"/>
  <c r="M174" i="152"/>
  <c r="M62" i="152"/>
  <c r="M6" i="152"/>
  <c r="M118" i="152"/>
  <c r="M177" i="152"/>
  <c r="M121" i="152"/>
  <c r="M65" i="152"/>
  <c r="M9" i="152"/>
  <c r="M177" i="144"/>
  <c r="M9" i="144"/>
  <c r="M65" i="144"/>
  <c r="M121" i="144"/>
  <c r="M62" i="144"/>
  <c r="M118" i="144"/>
  <c r="M6" i="144"/>
  <c r="M174" i="144"/>
  <c r="M172" i="152"/>
  <c r="M116" i="152"/>
  <c r="M60" i="152"/>
  <c r="M4" i="152"/>
  <c r="N115" i="152"/>
  <c r="N59" i="152"/>
  <c r="N171" i="152"/>
  <c r="N3" i="152"/>
  <c r="N194" i="144"/>
  <c r="N138" i="144"/>
  <c r="N82" i="144"/>
  <c r="N26" i="144"/>
  <c r="M190" i="144"/>
  <c r="M78" i="144"/>
  <c r="M22" i="144"/>
  <c r="M134" i="144"/>
  <c r="M79" i="152"/>
  <c r="M23" i="152"/>
  <c r="M191" i="152"/>
  <c r="M135" i="152"/>
  <c r="N210" i="144"/>
  <c r="N42" i="144"/>
  <c r="N154" i="144"/>
  <c r="N98" i="144"/>
  <c r="M178" i="152"/>
  <c r="M122" i="152"/>
  <c r="M66" i="152"/>
  <c r="M10" i="152"/>
  <c r="N194" i="152"/>
  <c r="N82" i="152"/>
  <c r="N138" i="152"/>
  <c r="N26" i="152"/>
  <c r="N42" i="152"/>
  <c r="N154" i="152"/>
  <c r="N98" i="152"/>
  <c r="N210" i="152"/>
  <c r="M135" i="144"/>
  <c r="M79" i="144"/>
  <c r="M23" i="144"/>
  <c r="M191" i="144"/>
  <c r="M195" i="144"/>
  <c r="M139" i="144"/>
  <c r="M27" i="144"/>
  <c r="M83" i="144"/>
  <c r="L138" i="147"/>
  <c r="L21" i="152"/>
  <c r="L29" i="152" s="1"/>
  <c r="L77" i="152"/>
  <c r="L85" i="152" s="1"/>
  <c r="L133" i="152"/>
  <c r="L141" i="152" s="1"/>
  <c r="L189" i="152"/>
  <c r="L197" i="152" s="1"/>
  <c r="M41" i="152"/>
  <c r="M97" i="152"/>
  <c r="M153" i="152"/>
  <c r="M209" i="152"/>
  <c r="M64" i="144"/>
  <c r="M176" i="144"/>
  <c r="M120" i="144"/>
  <c r="M8" i="144"/>
  <c r="M195" i="152"/>
  <c r="M139" i="152"/>
  <c r="M83" i="152"/>
  <c r="M27" i="152"/>
  <c r="M173" i="144"/>
  <c r="M61" i="144"/>
  <c r="M117" i="144"/>
  <c r="M5" i="144"/>
  <c r="N3" i="144"/>
  <c r="N115" i="144"/>
  <c r="N59" i="144"/>
  <c r="N171" i="144"/>
  <c r="M213" i="144"/>
  <c r="M45" i="144"/>
  <c r="M101" i="144"/>
  <c r="M157" i="144"/>
  <c r="L150" i="134"/>
  <c r="N58" i="134"/>
  <c r="N70" i="147"/>
  <c r="N72" i="147" s="1"/>
  <c r="O70" i="137"/>
  <c r="M65" i="147"/>
  <c r="N76" i="134"/>
  <c r="N78" i="134" s="1"/>
  <c r="N70" i="138"/>
  <c r="O64" i="138"/>
  <c r="O47" i="147"/>
  <c r="O52" i="134"/>
  <c r="P210" i="134"/>
  <c r="P220" i="138"/>
  <c r="P193" i="147"/>
  <c r="O51" i="134"/>
  <c r="O46" i="147"/>
  <c r="O63" i="138"/>
  <c r="P52" i="138"/>
  <c r="P65" i="137"/>
  <c r="Q29" i="137"/>
  <c r="Q28" i="137"/>
  <c r="P51" i="138"/>
  <c r="P64" i="137"/>
  <c r="N69" i="134"/>
  <c r="N225" i="134"/>
  <c r="O51" i="147"/>
  <c r="O68" i="138"/>
  <c r="O56" i="134"/>
  <c r="O194" i="147"/>
  <c r="O211" i="134"/>
  <c r="O221" i="138"/>
  <c r="Q32" i="137"/>
  <c r="P68" i="137"/>
  <c r="P55" i="138"/>
  <c r="N63" i="134"/>
  <c r="O192" i="147"/>
  <c r="O219" i="138"/>
  <c r="O209" i="134"/>
  <c r="O129" i="134"/>
  <c r="O140" i="138"/>
  <c r="O118" i="147"/>
  <c r="N62" i="147"/>
  <c r="O223" i="134"/>
  <c r="N226" i="134"/>
  <c r="N67" i="134"/>
  <c r="N208" i="147"/>
  <c r="N58" i="147"/>
  <c r="N53" i="147"/>
  <c r="O124" i="147"/>
  <c r="O146" i="138"/>
  <c r="O135" i="134"/>
  <c r="O123" i="147"/>
  <c r="O145" i="138"/>
  <c r="O134" i="134"/>
  <c r="N142" i="134"/>
  <c r="N61" i="147"/>
  <c r="N136" i="147"/>
  <c r="N65" i="134"/>
  <c r="P122" i="147"/>
  <c r="P144" i="138"/>
  <c r="P133" i="134"/>
  <c r="N203" i="147"/>
  <c r="N147" i="134"/>
  <c r="O208" i="134"/>
  <c r="O191" i="147"/>
  <c r="O218" i="138"/>
  <c r="N214" i="138"/>
  <c r="N207" i="134"/>
  <c r="N231" i="138"/>
  <c r="N190" i="147"/>
  <c r="N217" i="138"/>
  <c r="N226" i="138" s="1"/>
  <c r="P66" i="137"/>
  <c r="Q30" i="137"/>
  <c r="P53" i="138"/>
  <c r="N131" i="147"/>
  <c r="P209" i="138"/>
  <c r="P90" i="137"/>
  <c r="Q54" i="137"/>
  <c r="Q45" i="137"/>
  <c r="P81" i="137"/>
  <c r="P134" i="138"/>
  <c r="O205" i="147"/>
  <c r="N148" i="134"/>
  <c r="O49" i="147"/>
  <c r="O66" i="138"/>
  <c r="O54" i="134"/>
  <c r="N130" i="147"/>
  <c r="O223" i="138"/>
  <c r="O213" i="134"/>
  <c r="O196" i="147"/>
  <c r="Q31" i="137"/>
  <c r="P54" i="138"/>
  <c r="P67" i="137"/>
  <c r="N59" i="147"/>
  <c r="Q208" i="138"/>
  <c r="R53" i="137"/>
  <c r="Q89" i="137"/>
  <c r="N204" i="147"/>
  <c r="Q44" i="137"/>
  <c r="P80" i="137"/>
  <c r="P133" i="138"/>
  <c r="N144" i="134"/>
  <c r="O119" i="147"/>
  <c r="O141" i="138"/>
  <c r="O130" i="134"/>
  <c r="Q79" i="137"/>
  <c r="Q132" i="138"/>
  <c r="R43" i="137"/>
  <c r="N221" i="134"/>
  <c r="N135" i="147"/>
  <c r="N207" i="147"/>
  <c r="O48" i="147"/>
  <c r="O53" i="134"/>
  <c r="O65" i="138"/>
  <c r="N60" i="147"/>
  <c r="N224" i="134"/>
  <c r="Q56" i="137"/>
  <c r="P211" i="138"/>
  <c r="P92" i="137"/>
  <c r="O146" i="134"/>
  <c r="P206" i="138"/>
  <c r="P87" i="137"/>
  <c r="Q51" i="137"/>
  <c r="N64" i="134"/>
  <c r="P130" i="138"/>
  <c r="Q41" i="137"/>
  <c r="P77" i="137"/>
  <c r="O120" i="147"/>
  <c r="O142" i="138"/>
  <c r="O131" i="134"/>
  <c r="N143" i="134"/>
  <c r="N63" i="147"/>
  <c r="P56" i="138"/>
  <c r="P69" i="137"/>
  <c r="Q33" i="137"/>
  <c r="N222" i="134"/>
  <c r="O55" i="134"/>
  <c r="O50" i="147"/>
  <c r="O67" i="138"/>
  <c r="P207" i="138"/>
  <c r="P88" i="137"/>
  <c r="Q52" i="137"/>
  <c r="N66" i="134"/>
  <c r="N206" i="147"/>
  <c r="N57" i="147"/>
  <c r="N68" i="134"/>
  <c r="O195" i="147"/>
  <c r="O222" i="138"/>
  <c r="O212" i="134"/>
  <c r="P75" i="137"/>
  <c r="P128" i="138"/>
  <c r="Q39" i="137"/>
  <c r="M220" i="134"/>
  <c r="M202" i="147"/>
  <c r="N132" i="147"/>
  <c r="O134" i="147"/>
  <c r="P129" i="138"/>
  <c r="P76" i="137"/>
  <c r="Q40" i="137"/>
  <c r="O86" i="137"/>
  <c r="O94" i="137" s="1"/>
  <c r="P50" i="137"/>
  <c r="O58" i="137"/>
  <c r="O205" i="138"/>
  <c r="O56" i="147"/>
  <c r="P44" i="147"/>
  <c r="O62" i="134"/>
  <c r="Q49" i="138"/>
  <c r="Q62" i="137"/>
  <c r="R26" i="137"/>
  <c r="P61" i="138"/>
  <c r="P49" i="134"/>
  <c r="G46" i="137"/>
  <c r="Q55" i="137" l="1"/>
  <c r="Q210" i="138" s="1"/>
  <c r="P210" i="138"/>
  <c r="Q27" i="137"/>
  <c r="Q34" i="137" s="1"/>
  <c r="L103" i="144"/>
  <c r="L47" i="144"/>
  <c r="L159" i="144"/>
  <c r="P34" i="137"/>
  <c r="M172" i="144"/>
  <c r="M179" i="144" s="1"/>
  <c r="M60" i="144"/>
  <c r="M67" i="144" s="1"/>
  <c r="M4" i="144"/>
  <c r="M11" i="144" s="1"/>
  <c r="M116" i="144"/>
  <c r="M123" i="144" s="1"/>
  <c r="P63" i="137"/>
  <c r="P70" i="137" s="1"/>
  <c r="O75" i="138"/>
  <c r="O45" i="147"/>
  <c r="O57" i="147" s="1"/>
  <c r="O62" i="138"/>
  <c r="O70" i="138" s="1"/>
  <c r="O58" i="138"/>
  <c r="L159" i="152"/>
  <c r="M102" i="144"/>
  <c r="M158" i="144"/>
  <c r="L215" i="152"/>
  <c r="M46" i="144"/>
  <c r="L103" i="152"/>
  <c r="M102" i="152"/>
  <c r="M158" i="152"/>
  <c r="M216" i="147"/>
  <c r="M218" i="147" s="1"/>
  <c r="M46" i="152"/>
  <c r="M199" i="147"/>
  <c r="M234" i="134"/>
  <c r="M236" i="134" s="1"/>
  <c r="O93" i="137"/>
  <c r="P57" i="137"/>
  <c r="O212" i="138"/>
  <c r="N197" i="147"/>
  <c r="N209" i="147" s="1"/>
  <c r="N214" i="152" s="1"/>
  <c r="N214" i="134"/>
  <c r="N227" i="134" s="1"/>
  <c r="N102" i="144" s="1"/>
  <c r="N224" i="138"/>
  <c r="M67" i="152"/>
  <c r="M179" i="152"/>
  <c r="M11" i="152"/>
  <c r="M123" i="152"/>
  <c r="N66" i="144"/>
  <c r="N178" i="144"/>
  <c r="N122" i="144"/>
  <c r="N10" i="144"/>
  <c r="N172" i="152"/>
  <c r="N4" i="152"/>
  <c r="N116" i="152"/>
  <c r="N60" i="152"/>
  <c r="N117" i="144"/>
  <c r="N173" i="144"/>
  <c r="N5" i="144"/>
  <c r="N61" i="144"/>
  <c r="N63" i="144"/>
  <c r="N7" i="144"/>
  <c r="N119" i="144"/>
  <c r="N175" i="144"/>
  <c r="N134" i="152"/>
  <c r="N78" i="152"/>
  <c r="N22" i="152"/>
  <c r="N190" i="152"/>
  <c r="N136" i="152"/>
  <c r="N192" i="152"/>
  <c r="N24" i="152"/>
  <c r="N80" i="152"/>
  <c r="N196" i="144"/>
  <c r="N84" i="144"/>
  <c r="N28" i="144"/>
  <c r="N140" i="144"/>
  <c r="M211" i="147"/>
  <c r="M207" i="152"/>
  <c r="M215" i="152" s="1"/>
  <c r="M39" i="152"/>
  <c r="M151" i="152"/>
  <c r="M95" i="152"/>
  <c r="O138" i="144"/>
  <c r="O194" i="144"/>
  <c r="O82" i="144"/>
  <c r="O26" i="144"/>
  <c r="N195" i="144"/>
  <c r="N139" i="144"/>
  <c r="N27" i="144"/>
  <c r="N83" i="144"/>
  <c r="N64" i="144"/>
  <c r="N176" i="144"/>
  <c r="N120" i="144"/>
  <c r="N8" i="144"/>
  <c r="N209" i="144"/>
  <c r="N41" i="144"/>
  <c r="N97" i="144"/>
  <c r="N153" i="144"/>
  <c r="O154" i="152"/>
  <c r="O210" i="152"/>
  <c r="O42" i="152"/>
  <c r="O98" i="152"/>
  <c r="N152" i="152"/>
  <c r="N40" i="152"/>
  <c r="N96" i="152"/>
  <c r="N208" i="152"/>
  <c r="N213" i="144"/>
  <c r="N157" i="144"/>
  <c r="N45" i="144"/>
  <c r="N101" i="144"/>
  <c r="N209" i="152"/>
  <c r="N41" i="152"/>
  <c r="N153" i="152"/>
  <c r="N97" i="152"/>
  <c r="O210" i="144"/>
  <c r="O98" i="144"/>
  <c r="O154" i="144"/>
  <c r="O42" i="144"/>
  <c r="O3" i="144"/>
  <c r="O115" i="144"/>
  <c r="O59" i="144"/>
  <c r="O171" i="144"/>
  <c r="M229" i="134"/>
  <c r="M207" i="144"/>
  <c r="M215" i="144" s="1"/>
  <c r="M151" i="144"/>
  <c r="M95" i="144"/>
  <c r="M39" i="144"/>
  <c r="N177" i="152"/>
  <c r="N121" i="152"/>
  <c r="N65" i="152"/>
  <c r="N9" i="152"/>
  <c r="N83" i="152"/>
  <c r="N195" i="152"/>
  <c r="N27" i="152"/>
  <c r="N139" i="152"/>
  <c r="N213" i="152"/>
  <c r="N157" i="152"/>
  <c r="N101" i="152"/>
  <c r="N45" i="152"/>
  <c r="N63" i="152"/>
  <c r="N119" i="152"/>
  <c r="N175" i="152"/>
  <c r="N7" i="152"/>
  <c r="N196" i="152"/>
  <c r="N140" i="152"/>
  <c r="N84" i="152"/>
  <c r="N28" i="152"/>
  <c r="N65" i="144"/>
  <c r="N177" i="144"/>
  <c r="N9" i="144"/>
  <c r="N121" i="144"/>
  <c r="N211" i="152"/>
  <c r="N99" i="152"/>
  <c r="N43" i="152"/>
  <c r="N155" i="152"/>
  <c r="N136" i="144"/>
  <c r="N192" i="144"/>
  <c r="N80" i="144"/>
  <c r="N24" i="144"/>
  <c r="N43" i="144"/>
  <c r="N211" i="144"/>
  <c r="N99" i="144"/>
  <c r="N155" i="144"/>
  <c r="O115" i="152"/>
  <c r="O171" i="152"/>
  <c r="O59" i="152"/>
  <c r="O3" i="152"/>
  <c r="N191" i="144"/>
  <c r="N79" i="144"/>
  <c r="N23" i="144"/>
  <c r="N135" i="144"/>
  <c r="N174" i="152"/>
  <c r="N62" i="152"/>
  <c r="N6" i="152"/>
  <c r="N118" i="152"/>
  <c r="N79" i="152"/>
  <c r="N23" i="152"/>
  <c r="N191" i="152"/>
  <c r="N135" i="152"/>
  <c r="N120" i="152"/>
  <c r="N64" i="152"/>
  <c r="N176" i="152"/>
  <c r="N8" i="152"/>
  <c r="N152" i="144"/>
  <c r="N208" i="144"/>
  <c r="N40" i="144"/>
  <c r="N96" i="144"/>
  <c r="N116" i="144"/>
  <c r="N60" i="144"/>
  <c r="N4" i="144"/>
  <c r="N172" i="144"/>
  <c r="O194" i="152"/>
  <c r="O138" i="152"/>
  <c r="O26" i="152"/>
  <c r="O82" i="152"/>
  <c r="N5" i="152"/>
  <c r="N173" i="152"/>
  <c r="N117" i="152"/>
  <c r="N61" i="152"/>
  <c r="N178" i="152"/>
  <c r="N122" i="152"/>
  <c r="N66" i="152"/>
  <c r="N10" i="152"/>
  <c r="N62" i="144"/>
  <c r="N174" i="144"/>
  <c r="N118" i="144"/>
  <c r="N6" i="144"/>
  <c r="N100" i="152"/>
  <c r="N212" i="152"/>
  <c r="N156" i="152"/>
  <c r="N44" i="152"/>
  <c r="N190" i="144"/>
  <c r="N78" i="144"/>
  <c r="N22" i="144"/>
  <c r="N134" i="144"/>
  <c r="N212" i="144"/>
  <c r="N44" i="144"/>
  <c r="N156" i="144"/>
  <c r="N100" i="144"/>
  <c r="P75" i="138"/>
  <c r="N65" i="147"/>
  <c r="O58" i="134"/>
  <c r="O76" i="134"/>
  <c r="O78" i="134" s="1"/>
  <c r="N71" i="134"/>
  <c r="O207" i="134"/>
  <c r="O231" i="138"/>
  <c r="O217" i="138"/>
  <c r="O226" i="138" s="1"/>
  <c r="O190" i="147"/>
  <c r="O214" i="138"/>
  <c r="P192" i="147"/>
  <c r="P209" i="134"/>
  <c r="P219" i="138"/>
  <c r="O60" i="147"/>
  <c r="O67" i="134"/>
  <c r="P205" i="138"/>
  <c r="P58" i="137"/>
  <c r="Q50" i="137"/>
  <c r="P86" i="137"/>
  <c r="P94" i="137" s="1"/>
  <c r="P67" i="138"/>
  <c r="P55" i="134"/>
  <c r="P50" i="147"/>
  <c r="O62" i="147"/>
  <c r="Q64" i="137"/>
  <c r="Q51" i="138"/>
  <c r="R28" i="137"/>
  <c r="O147" i="134"/>
  <c r="R29" i="137"/>
  <c r="Q52" i="138"/>
  <c r="Q65" i="137"/>
  <c r="P129" i="134"/>
  <c r="P118" i="147"/>
  <c r="P140" i="138"/>
  <c r="O224" i="134"/>
  <c r="O63" i="134"/>
  <c r="O135" i="147"/>
  <c r="O206" i="147"/>
  <c r="P47" i="147"/>
  <c r="P52" i="134"/>
  <c r="P64" i="138"/>
  <c r="S43" i="137"/>
  <c r="R79" i="137"/>
  <c r="R132" i="138"/>
  <c r="P56" i="134"/>
  <c r="P51" i="147"/>
  <c r="P68" i="138"/>
  <c r="Q122" i="147"/>
  <c r="Q144" i="138"/>
  <c r="Q133" i="134"/>
  <c r="Q193" i="147"/>
  <c r="Q220" i="138"/>
  <c r="Q210" i="134"/>
  <c r="P124" i="147"/>
  <c r="P146" i="138"/>
  <c r="P135" i="134"/>
  <c r="O58" i="147"/>
  <c r="O207" i="147"/>
  <c r="O136" i="147"/>
  <c r="O64" i="134"/>
  <c r="P196" i="147"/>
  <c r="P213" i="134"/>
  <c r="P223" i="138"/>
  <c r="O143" i="134"/>
  <c r="Q81" i="137"/>
  <c r="Q134" i="138"/>
  <c r="R45" i="137"/>
  <c r="O130" i="147"/>
  <c r="O69" i="134"/>
  <c r="P205" i="147"/>
  <c r="N202" i="147"/>
  <c r="O68" i="134"/>
  <c r="O225" i="134"/>
  <c r="O148" i="134"/>
  <c r="P146" i="134"/>
  <c r="O131" i="147"/>
  <c r="P54" i="134"/>
  <c r="P66" i="138"/>
  <c r="P49" i="147"/>
  <c r="O142" i="134"/>
  <c r="O63" i="147"/>
  <c r="P223" i="134"/>
  <c r="P62" i="138"/>
  <c r="P45" i="147"/>
  <c r="P50" i="134"/>
  <c r="Q88" i="137"/>
  <c r="Q207" i="138"/>
  <c r="R52" i="137"/>
  <c r="P120" i="147"/>
  <c r="P142" i="138"/>
  <c r="P131" i="134"/>
  <c r="P51" i="134"/>
  <c r="P46" i="147"/>
  <c r="P63" i="138"/>
  <c r="N220" i="134"/>
  <c r="S53" i="137"/>
  <c r="R208" i="138"/>
  <c r="R89" i="137"/>
  <c r="Q211" i="138"/>
  <c r="R56" i="137"/>
  <c r="Q92" i="137"/>
  <c r="Q90" i="137"/>
  <c r="R54" i="137"/>
  <c r="Q209" i="138"/>
  <c r="O144" i="134"/>
  <c r="Q54" i="138"/>
  <c r="Q67" i="137"/>
  <c r="R31" i="137"/>
  <c r="P211" i="134"/>
  <c r="P221" i="138"/>
  <c r="P194" i="147"/>
  <c r="P134" i="147"/>
  <c r="O222" i="134"/>
  <c r="O65" i="134"/>
  <c r="Q66" i="137"/>
  <c r="R30" i="137"/>
  <c r="Q53" i="138"/>
  <c r="O66" i="134"/>
  <c r="Q87" i="137"/>
  <c r="Q206" i="138"/>
  <c r="R51" i="137"/>
  <c r="O61" i="147"/>
  <c r="Q55" i="138"/>
  <c r="R32" i="137"/>
  <c r="Q68" i="137"/>
  <c r="P119" i="147"/>
  <c r="P141" i="138"/>
  <c r="P130" i="134"/>
  <c r="Q69" i="137"/>
  <c r="R33" i="137"/>
  <c r="Q56" i="138"/>
  <c r="O208" i="147"/>
  <c r="O59" i="147"/>
  <c r="Q77" i="137"/>
  <c r="Q130" i="138"/>
  <c r="R41" i="137"/>
  <c r="R44" i="137"/>
  <c r="Q80" i="137"/>
  <c r="Q133" i="138"/>
  <c r="P195" i="147"/>
  <c r="P222" i="138"/>
  <c r="P212" i="134"/>
  <c r="R40" i="137"/>
  <c r="Q129" i="138"/>
  <c r="Q76" i="137"/>
  <c r="P208" i="134"/>
  <c r="P218" i="138"/>
  <c r="P191" i="147"/>
  <c r="R39" i="137"/>
  <c r="Q75" i="137"/>
  <c r="Q128" i="138"/>
  <c r="P58" i="138"/>
  <c r="O203" i="147"/>
  <c r="O221" i="134"/>
  <c r="O132" i="147"/>
  <c r="P123" i="147"/>
  <c r="P145" i="138"/>
  <c r="P134" i="134"/>
  <c r="O226" i="134"/>
  <c r="O204" i="147"/>
  <c r="P48" i="147"/>
  <c r="P53" i="134"/>
  <c r="P65" i="138"/>
  <c r="Q44" i="147"/>
  <c r="P56" i="147"/>
  <c r="P62" i="134"/>
  <c r="R49" i="138"/>
  <c r="R62" i="137"/>
  <c r="S26" i="137"/>
  <c r="Q61" i="138"/>
  <c r="Q49" i="134"/>
  <c r="H46" i="137"/>
  <c r="Q91" i="137" l="1"/>
  <c r="R55" i="137"/>
  <c r="Q63" i="137"/>
  <c r="Q70" i="137" s="1"/>
  <c r="Q50" i="138"/>
  <c r="Q45" i="147" s="1"/>
  <c r="R27" i="137"/>
  <c r="R34" i="137" s="1"/>
  <c r="O70" i="147"/>
  <c r="O72" i="147" s="1"/>
  <c r="O53" i="147"/>
  <c r="M103" i="152"/>
  <c r="M159" i="152"/>
  <c r="M47" i="152"/>
  <c r="N46" i="152"/>
  <c r="M103" i="144"/>
  <c r="M159" i="144"/>
  <c r="M47" i="144"/>
  <c r="N216" i="134"/>
  <c r="N234" i="134"/>
  <c r="N236" i="134" s="1"/>
  <c r="N102" i="152"/>
  <c r="N158" i="152"/>
  <c r="N199" i="147"/>
  <c r="N216" i="147"/>
  <c r="N218" i="147" s="1"/>
  <c r="N158" i="144"/>
  <c r="N46" i="144"/>
  <c r="O224" i="138"/>
  <c r="O197" i="147"/>
  <c r="O209" i="147" s="1"/>
  <c r="O158" i="152" s="1"/>
  <c r="O214" i="134"/>
  <c r="O227" i="134" s="1"/>
  <c r="O214" i="144" s="1"/>
  <c r="N214" i="144"/>
  <c r="P93" i="137"/>
  <c r="Q57" i="137"/>
  <c r="P212" i="138"/>
  <c r="N11" i="144"/>
  <c r="N179" i="152"/>
  <c r="N67" i="144"/>
  <c r="N67" i="152"/>
  <c r="N123" i="144"/>
  <c r="N123" i="152"/>
  <c r="N11" i="152"/>
  <c r="N179" i="144"/>
  <c r="O66" i="144"/>
  <c r="O178" i="144"/>
  <c r="O10" i="144"/>
  <c r="O122" i="144"/>
  <c r="O136" i="152"/>
  <c r="O80" i="152"/>
  <c r="O24" i="152"/>
  <c r="O192" i="152"/>
  <c r="O152" i="144"/>
  <c r="O96" i="144"/>
  <c r="O208" i="144"/>
  <c r="O40" i="144"/>
  <c r="P171" i="152"/>
  <c r="P115" i="152"/>
  <c r="P59" i="152"/>
  <c r="P3" i="152"/>
  <c r="O172" i="152"/>
  <c r="O4" i="152"/>
  <c r="O116" i="152"/>
  <c r="O60" i="152"/>
  <c r="O195" i="144"/>
  <c r="O83" i="144"/>
  <c r="O27" i="144"/>
  <c r="O139" i="144"/>
  <c r="O174" i="152"/>
  <c r="O6" i="152"/>
  <c r="O62" i="152"/>
  <c r="O118" i="152"/>
  <c r="O157" i="152"/>
  <c r="O101" i="152"/>
  <c r="O45" i="152"/>
  <c r="O213" i="152"/>
  <c r="O61" i="144"/>
  <c r="O117" i="144"/>
  <c r="O173" i="144"/>
  <c r="O5" i="144"/>
  <c r="P82" i="152"/>
  <c r="P26" i="152"/>
  <c r="P138" i="152"/>
  <c r="P194" i="152"/>
  <c r="N229" i="134"/>
  <c r="N207" i="144"/>
  <c r="N151" i="144"/>
  <c r="N95" i="144"/>
  <c r="N103" i="144" s="1"/>
  <c r="N39" i="144"/>
  <c r="O79" i="152"/>
  <c r="O23" i="152"/>
  <c r="O191" i="152"/>
  <c r="O135" i="152"/>
  <c r="P138" i="144"/>
  <c r="P194" i="144"/>
  <c r="P82" i="144"/>
  <c r="P26" i="144"/>
  <c r="O152" i="152"/>
  <c r="O40" i="152"/>
  <c r="O96" i="152"/>
  <c r="O208" i="152"/>
  <c r="P98" i="144"/>
  <c r="P42" i="144"/>
  <c r="P154" i="144"/>
  <c r="P210" i="144"/>
  <c r="O66" i="152"/>
  <c r="O178" i="152"/>
  <c r="O122" i="152"/>
  <c r="O10" i="152"/>
  <c r="O209" i="144"/>
  <c r="O41" i="144"/>
  <c r="O97" i="144"/>
  <c r="O153" i="144"/>
  <c r="O5" i="152"/>
  <c r="O117" i="152"/>
  <c r="O61" i="152"/>
  <c r="O173" i="152"/>
  <c r="O209" i="152"/>
  <c r="O41" i="152"/>
  <c r="O153" i="152"/>
  <c r="O97" i="152"/>
  <c r="N211" i="147"/>
  <c r="N95" i="152"/>
  <c r="N151" i="152"/>
  <c r="N207" i="152"/>
  <c r="N215" i="152" s="1"/>
  <c r="N39" i="152"/>
  <c r="O83" i="152"/>
  <c r="O139" i="152"/>
  <c r="O195" i="152"/>
  <c r="O27" i="152"/>
  <c r="O190" i="152"/>
  <c r="O78" i="152"/>
  <c r="O22" i="152"/>
  <c r="O134" i="152"/>
  <c r="P171" i="144"/>
  <c r="P59" i="144"/>
  <c r="P115" i="144"/>
  <c r="P3" i="144"/>
  <c r="O63" i="144"/>
  <c r="O7" i="144"/>
  <c r="O119" i="144"/>
  <c r="O175" i="144"/>
  <c r="O177" i="152"/>
  <c r="O121" i="152"/>
  <c r="O65" i="152"/>
  <c r="O9" i="152"/>
  <c r="O84" i="152"/>
  <c r="O28" i="152"/>
  <c r="O140" i="152"/>
  <c r="O196" i="152"/>
  <c r="O100" i="152"/>
  <c r="O212" i="152"/>
  <c r="O156" i="152"/>
  <c r="O44" i="152"/>
  <c r="O177" i="144"/>
  <c r="O121" i="144"/>
  <c r="O9" i="144"/>
  <c r="O65" i="144"/>
  <c r="O213" i="144"/>
  <c r="O157" i="144"/>
  <c r="O45" i="144"/>
  <c r="O101" i="144"/>
  <c r="O80" i="144"/>
  <c r="O24" i="144"/>
  <c r="O136" i="144"/>
  <c r="O192" i="144"/>
  <c r="O172" i="144"/>
  <c r="O4" i="144"/>
  <c r="O116" i="144"/>
  <c r="O60" i="144"/>
  <c r="O64" i="144"/>
  <c r="O8" i="144"/>
  <c r="O120" i="144"/>
  <c r="O176" i="144"/>
  <c r="O120" i="152"/>
  <c r="O64" i="152"/>
  <c r="O176" i="152"/>
  <c r="O8" i="152"/>
  <c r="P98" i="152"/>
  <c r="P154" i="152"/>
  <c r="P210" i="152"/>
  <c r="P42" i="152"/>
  <c r="O191" i="144"/>
  <c r="O79" i="144"/>
  <c r="O23" i="144"/>
  <c r="O135" i="144"/>
  <c r="O78" i="144"/>
  <c r="O22" i="144"/>
  <c r="O190" i="144"/>
  <c r="O134" i="144"/>
  <c r="O118" i="144"/>
  <c r="O174" i="144"/>
  <c r="O6" i="144"/>
  <c r="O62" i="144"/>
  <c r="O196" i="144"/>
  <c r="O140" i="144"/>
  <c r="O84" i="144"/>
  <c r="O28" i="144"/>
  <c r="O44" i="144"/>
  <c r="O156" i="144"/>
  <c r="O212" i="144"/>
  <c r="O100" i="144"/>
  <c r="O211" i="152"/>
  <c r="O155" i="152"/>
  <c r="O43" i="152"/>
  <c r="O99" i="152"/>
  <c r="O211" i="144"/>
  <c r="O155" i="144"/>
  <c r="O43" i="144"/>
  <c r="O99" i="144"/>
  <c r="O63" i="152"/>
  <c r="O175" i="152"/>
  <c r="O119" i="152"/>
  <c r="O7" i="152"/>
  <c r="P70" i="147"/>
  <c r="P72" i="147" s="1"/>
  <c r="P70" i="138"/>
  <c r="O71" i="134"/>
  <c r="O65" i="147"/>
  <c r="P68" i="134"/>
  <c r="Q51" i="147"/>
  <c r="Q56" i="134"/>
  <c r="Q68" i="138"/>
  <c r="S55" i="137"/>
  <c r="R210" i="138"/>
  <c r="R91" i="137"/>
  <c r="P226" i="134"/>
  <c r="P63" i="134"/>
  <c r="R193" i="147"/>
  <c r="R220" i="138"/>
  <c r="R210" i="134"/>
  <c r="Q47" i="147"/>
  <c r="Q52" i="134"/>
  <c r="Q64" i="138"/>
  <c r="P222" i="134"/>
  <c r="S44" i="137"/>
  <c r="R80" i="137"/>
  <c r="R133" i="138"/>
  <c r="P224" i="134"/>
  <c r="S79" i="137"/>
  <c r="T43" i="137"/>
  <c r="S132" i="138"/>
  <c r="P204" i="147"/>
  <c r="R209" i="138"/>
  <c r="R90" i="137"/>
  <c r="S54" i="137"/>
  <c r="S30" i="137"/>
  <c r="R53" i="138"/>
  <c r="R66" i="137"/>
  <c r="R211" i="138"/>
  <c r="R92" i="137"/>
  <c r="S56" i="137"/>
  <c r="Q196" i="147"/>
  <c r="Q213" i="134"/>
  <c r="Q223" i="138"/>
  <c r="P130" i="147"/>
  <c r="P60" i="147"/>
  <c r="P69" i="134"/>
  <c r="P207" i="147"/>
  <c r="R68" i="137"/>
  <c r="R55" i="138"/>
  <c r="S32" i="137"/>
  <c r="S29" i="137"/>
  <c r="R52" i="138"/>
  <c r="R65" i="137"/>
  <c r="P206" i="147"/>
  <c r="R122" i="147"/>
  <c r="R144" i="138"/>
  <c r="R133" i="134"/>
  <c r="Q120" i="147"/>
  <c r="Q142" i="138"/>
  <c r="Q131" i="134"/>
  <c r="Q191" i="147"/>
  <c r="Q208" i="134"/>
  <c r="Q218" i="138"/>
  <c r="P65" i="134"/>
  <c r="S28" i="137"/>
  <c r="R64" i="137"/>
  <c r="R51" i="138"/>
  <c r="P62" i="147"/>
  <c r="P132" i="147"/>
  <c r="Q219" i="138"/>
  <c r="Q209" i="134"/>
  <c r="Q192" i="147"/>
  <c r="P143" i="134"/>
  <c r="P225" i="134"/>
  <c r="S208" i="138"/>
  <c r="T53" i="137"/>
  <c r="S89" i="137"/>
  <c r="R75" i="137"/>
  <c r="R128" i="138"/>
  <c r="S39" i="137"/>
  <c r="Q49" i="147"/>
  <c r="Q54" i="134"/>
  <c r="Q66" i="138"/>
  <c r="P67" i="134"/>
  <c r="P59" i="147"/>
  <c r="Q46" i="147"/>
  <c r="Q51" i="134"/>
  <c r="Q63" i="138"/>
  <c r="O202" i="147"/>
  <c r="Q223" i="134"/>
  <c r="Q119" i="147"/>
  <c r="Q141" i="138"/>
  <c r="Q130" i="134"/>
  <c r="S33" i="137"/>
  <c r="R69" i="137"/>
  <c r="R56" i="138"/>
  <c r="R50" i="137"/>
  <c r="Q58" i="137"/>
  <c r="Q86" i="137"/>
  <c r="Q205" i="138"/>
  <c r="S40" i="137"/>
  <c r="R129" i="138"/>
  <c r="R76" i="137"/>
  <c r="P57" i="147"/>
  <c r="P63" i="147"/>
  <c r="Q55" i="134"/>
  <c r="Q67" i="138"/>
  <c r="Q50" i="147"/>
  <c r="P147" i="134"/>
  <c r="P58" i="147"/>
  <c r="Q146" i="134"/>
  <c r="P208" i="147"/>
  <c r="P66" i="134"/>
  <c r="P231" i="138"/>
  <c r="P207" i="134"/>
  <c r="P190" i="147"/>
  <c r="P217" i="138"/>
  <c r="P226" i="138" s="1"/>
  <c r="P214" i="138"/>
  <c r="P76" i="134"/>
  <c r="P78" i="134" s="1"/>
  <c r="Q123" i="147"/>
  <c r="Q145" i="138"/>
  <c r="Q134" i="134"/>
  <c r="P61" i="147"/>
  <c r="P53" i="147"/>
  <c r="P64" i="134"/>
  <c r="R81" i="137"/>
  <c r="S45" i="137"/>
  <c r="R134" i="138"/>
  <c r="P148" i="134"/>
  <c r="P136" i="147"/>
  <c r="Q48" i="147"/>
  <c r="Q53" i="134"/>
  <c r="Q65" i="138"/>
  <c r="S52" i="137"/>
  <c r="R88" i="137"/>
  <c r="R207" i="138"/>
  <c r="Q212" i="134"/>
  <c r="Q195" i="147"/>
  <c r="Q222" i="138"/>
  <c r="Q205" i="147"/>
  <c r="Q134" i="147"/>
  <c r="P58" i="134"/>
  <c r="P142" i="134"/>
  <c r="P131" i="147"/>
  <c r="Q118" i="147"/>
  <c r="Q140" i="138"/>
  <c r="Q129" i="134"/>
  <c r="R77" i="137"/>
  <c r="R130" i="138"/>
  <c r="S41" i="137"/>
  <c r="R206" i="138"/>
  <c r="R87" i="137"/>
  <c r="S51" i="137"/>
  <c r="R54" i="138"/>
  <c r="R67" i="137"/>
  <c r="S31" i="137"/>
  <c r="P203" i="147"/>
  <c r="P135" i="147"/>
  <c r="P221" i="134"/>
  <c r="Q194" i="147"/>
  <c r="Q211" i="134"/>
  <c r="Q221" i="138"/>
  <c r="P144" i="134"/>
  <c r="Q124" i="147"/>
  <c r="Q135" i="134"/>
  <c r="Q146" i="138"/>
  <c r="O220" i="134"/>
  <c r="Q56" i="147"/>
  <c r="R44" i="147"/>
  <c r="Q62" i="134"/>
  <c r="S49" i="138"/>
  <c r="S62" i="137"/>
  <c r="T26" i="137"/>
  <c r="R61" i="138"/>
  <c r="R49" i="134"/>
  <c r="I46" i="137"/>
  <c r="Q94" i="137" l="1"/>
  <c r="S27" i="137"/>
  <c r="T27" i="137" s="1"/>
  <c r="R50" i="138"/>
  <c r="R75" i="138" s="1"/>
  <c r="R63" i="137"/>
  <c r="R70" i="137" s="1"/>
  <c r="Q62" i="138"/>
  <c r="Q70" i="138" s="1"/>
  <c r="Q58" i="138"/>
  <c r="Q75" i="138"/>
  <c r="Q50" i="134"/>
  <c r="Q76" i="134" s="1"/>
  <c r="Q78" i="134" s="1"/>
  <c r="N47" i="152"/>
  <c r="N47" i="144"/>
  <c r="N103" i="152"/>
  <c r="N159" i="152"/>
  <c r="N159" i="144"/>
  <c r="O102" i="144"/>
  <c r="O216" i="134"/>
  <c r="O216" i="147"/>
  <c r="O218" i="147" s="1"/>
  <c r="O199" i="147"/>
  <c r="O46" i="144"/>
  <c r="O234" i="134"/>
  <c r="O236" i="134" s="1"/>
  <c r="O158" i="144"/>
  <c r="O102" i="152"/>
  <c r="O46" i="152"/>
  <c r="O214" i="152"/>
  <c r="Q93" i="137"/>
  <c r="Q212" i="138"/>
  <c r="R57" i="137"/>
  <c r="N215" i="144"/>
  <c r="P224" i="138"/>
  <c r="P214" i="134"/>
  <c r="P227" i="134" s="1"/>
  <c r="P46" i="144" s="1"/>
  <c r="P197" i="147"/>
  <c r="P209" i="147" s="1"/>
  <c r="P46" i="152" s="1"/>
  <c r="O67" i="144"/>
  <c r="O123" i="144"/>
  <c r="O11" i="144"/>
  <c r="O67" i="152"/>
  <c r="O179" i="152"/>
  <c r="O11" i="152"/>
  <c r="O179" i="144"/>
  <c r="O123" i="152"/>
  <c r="P43" i="144"/>
  <c r="P211" i="144"/>
  <c r="P99" i="144"/>
  <c r="P155" i="144"/>
  <c r="P190" i="152"/>
  <c r="P78" i="152"/>
  <c r="P22" i="152"/>
  <c r="P134" i="152"/>
  <c r="Q171" i="144"/>
  <c r="Q3" i="144"/>
  <c r="Q59" i="144"/>
  <c r="Q115" i="144"/>
  <c r="P63" i="144"/>
  <c r="P119" i="144"/>
  <c r="P7" i="144"/>
  <c r="P175" i="144"/>
  <c r="Q82" i="144"/>
  <c r="Q26" i="144"/>
  <c r="Q138" i="144"/>
  <c r="Q194" i="144"/>
  <c r="P43" i="152"/>
  <c r="P211" i="152"/>
  <c r="P155" i="152"/>
  <c r="P99" i="152"/>
  <c r="P140" i="144"/>
  <c r="P84" i="144"/>
  <c r="P196" i="144"/>
  <c r="P28" i="144"/>
  <c r="O211" i="147"/>
  <c r="O95" i="152"/>
  <c r="O151" i="152"/>
  <c r="O159" i="152" s="1"/>
  <c r="O207" i="152"/>
  <c r="O39" i="152"/>
  <c r="P78" i="144"/>
  <c r="P22" i="144"/>
  <c r="P134" i="144"/>
  <c r="P190" i="144"/>
  <c r="P152" i="144"/>
  <c r="P96" i="144"/>
  <c r="P208" i="144"/>
  <c r="P40" i="144"/>
  <c r="P64" i="152"/>
  <c r="P176" i="152"/>
  <c r="P8" i="152"/>
  <c r="P120" i="152"/>
  <c r="P60" i="152"/>
  <c r="P4" i="152"/>
  <c r="P116" i="152"/>
  <c r="P172" i="152"/>
  <c r="P100" i="152"/>
  <c r="P212" i="152"/>
  <c r="P156" i="152"/>
  <c r="P44" i="152"/>
  <c r="P7" i="152"/>
  <c r="P119" i="152"/>
  <c r="P175" i="152"/>
  <c r="P63" i="152"/>
  <c r="P153" i="144"/>
  <c r="P209" i="144"/>
  <c r="P41" i="144"/>
  <c r="P97" i="144"/>
  <c r="Q59" i="152"/>
  <c r="Q3" i="152"/>
  <c r="Q171" i="152"/>
  <c r="Q115" i="152"/>
  <c r="P177" i="144"/>
  <c r="P121" i="144"/>
  <c r="P9" i="144"/>
  <c r="P65" i="144"/>
  <c r="P84" i="152"/>
  <c r="P196" i="152"/>
  <c r="P28" i="152"/>
  <c r="P140" i="152"/>
  <c r="Q42" i="144"/>
  <c r="Q154" i="144"/>
  <c r="Q98" i="144"/>
  <c r="Q210" i="144"/>
  <c r="P136" i="152"/>
  <c r="P80" i="152"/>
  <c r="P192" i="152"/>
  <c r="P24" i="152"/>
  <c r="P117" i="144"/>
  <c r="P173" i="144"/>
  <c r="P5" i="144"/>
  <c r="P61" i="144"/>
  <c r="P121" i="152"/>
  <c r="P177" i="152"/>
  <c r="P9" i="152"/>
  <c r="P65" i="152"/>
  <c r="P10" i="152"/>
  <c r="P66" i="152"/>
  <c r="P122" i="152"/>
  <c r="P178" i="152"/>
  <c r="P195" i="152"/>
  <c r="P83" i="152"/>
  <c r="P139" i="152"/>
  <c r="P27" i="152"/>
  <c r="Q194" i="152"/>
  <c r="Q138" i="152"/>
  <c r="Q26" i="152"/>
  <c r="Q82" i="152"/>
  <c r="P118" i="152"/>
  <c r="P6" i="152"/>
  <c r="P62" i="152"/>
  <c r="P174" i="152"/>
  <c r="P66" i="144"/>
  <c r="P178" i="144"/>
  <c r="P122" i="144"/>
  <c r="P10" i="144"/>
  <c r="O229" i="134"/>
  <c r="O207" i="144"/>
  <c r="O215" i="144" s="1"/>
  <c r="O151" i="144"/>
  <c r="O95" i="144"/>
  <c r="O39" i="144"/>
  <c r="P157" i="152"/>
  <c r="P101" i="152"/>
  <c r="P213" i="152"/>
  <c r="P45" i="152"/>
  <c r="P44" i="144"/>
  <c r="P100" i="144"/>
  <c r="P212" i="144"/>
  <c r="P156" i="144"/>
  <c r="P191" i="144"/>
  <c r="P79" i="144"/>
  <c r="P23" i="144"/>
  <c r="P135" i="144"/>
  <c r="P61" i="152"/>
  <c r="P117" i="152"/>
  <c r="P173" i="152"/>
  <c r="P5" i="152"/>
  <c r="P195" i="144"/>
  <c r="P83" i="144"/>
  <c r="P27" i="144"/>
  <c r="P139" i="144"/>
  <c r="P192" i="144"/>
  <c r="P80" i="144"/>
  <c r="P24" i="144"/>
  <c r="P136" i="144"/>
  <c r="P191" i="152"/>
  <c r="P79" i="152"/>
  <c r="P135" i="152"/>
  <c r="P23" i="152"/>
  <c r="P172" i="144"/>
  <c r="P4" i="144"/>
  <c r="P116" i="144"/>
  <c r="P60" i="144"/>
  <c r="P209" i="152"/>
  <c r="P41" i="152"/>
  <c r="P153" i="152"/>
  <c r="P97" i="152"/>
  <c r="P152" i="152"/>
  <c r="P208" i="152"/>
  <c r="P96" i="152"/>
  <c r="P40" i="152"/>
  <c r="Q98" i="152"/>
  <c r="Q154" i="152"/>
  <c r="Q210" i="152"/>
  <c r="Q42" i="152"/>
  <c r="P64" i="144"/>
  <c r="P176" i="144"/>
  <c r="P8" i="144"/>
  <c r="P120" i="144"/>
  <c r="P62" i="144"/>
  <c r="P118" i="144"/>
  <c r="P174" i="144"/>
  <c r="P6" i="144"/>
  <c r="P213" i="144"/>
  <c r="P45" i="144"/>
  <c r="P157" i="144"/>
  <c r="P101" i="144"/>
  <c r="Q70" i="147"/>
  <c r="Q72" i="147" s="1"/>
  <c r="P65" i="147"/>
  <c r="P71" i="134"/>
  <c r="U53" i="137"/>
  <c r="T208" i="138"/>
  <c r="T89" i="137"/>
  <c r="Q203" i="147"/>
  <c r="U43" i="137"/>
  <c r="T132" i="138"/>
  <c r="T79" i="137"/>
  <c r="P202" i="147"/>
  <c r="Q204" i="147"/>
  <c r="Q64" i="134"/>
  <c r="R146" i="134"/>
  <c r="S81" i="137"/>
  <c r="S134" i="138"/>
  <c r="T45" i="137"/>
  <c r="T40" i="137"/>
  <c r="S129" i="138"/>
  <c r="S76" i="137"/>
  <c r="R134" i="147"/>
  <c r="Q148" i="134"/>
  <c r="Q226" i="134"/>
  <c r="S80" i="137"/>
  <c r="S133" i="138"/>
  <c r="T44" i="137"/>
  <c r="Q53" i="147"/>
  <c r="Q136" i="147"/>
  <c r="R120" i="147"/>
  <c r="R142" i="138"/>
  <c r="R131" i="134"/>
  <c r="Q225" i="134"/>
  <c r="Q208" i="147"/>
  <c r="R219" i="138"/>
  <c r="R209" i="134"/>
  <c r="R192" i="147"/>
  <c r="R86" i="137"/>
  <c r="R94" i="137" s="1"/>
  <c r="R205" i="138"/>
  <c r="R58" i="137"/>
  <c r="S50" i="137"/>
  <c r="R51" i="134"/>
  <c r="R46" i="147"/>
  <c r="R63" i="138"/>
  <c r="R52" i="134"/>
  <c r="R47" i="147"/>
  <c r="R64" i="138"/>
  <c r="T56" i="137"/>
  <c r="S92" i="137"/>
  <c r="S211" i="138"/>
  <c r="R222" i="138"/>
  <c r="R195" i="147"/>
  <c r="R212" i="134"/>
  <c r="R205" i="147"/>
  <c r="S122" i="147"/>
  <c r="S144" i="138"/>
  <c r="S133" i="134"/>
  <c r="R119" i="147"/>
  <c r="R141" i="138"/>
  <c r="R130" i="134"/>
  <c r="Q58" i="147"/>
  <c r="R123" i="147"/>
  <c r="R145" i="138"/>
  <c r="R134" i="134"/>
  <c r="R191" i="147"/>
  <c r="R208" i="134"/>
  <c r="R218" i="138"/>
  <c r="T41" i="137"/>
  <c r="S77" i="137"/>
  <c r="S130" i="138"/>
  <c r="T52" i="137"/>
  <c r="S207" i="138"/>
  <c r="S88" i="137"/>
  <c r="Q61" i="147"/>
  <c r="S51" i="138"/>
  <c r="T28" i="137"/>
  <c r="S64" i="137"/>
  <c r="S68" i="137"/>
  <c r="S55" i="138"/>
  <c r="T32" i="137"/>
  <c r="R196" i="147"/>
  <c r="R223" i="138"/>
  <c r="R213" i="134"/>
  <c r="Q65" i="134"/>
  <c r="S220" i="138"/>
  <c r="S193" i="147"/>
  <c r="S210" i="134"/>
  <c r="R211" i="134"/>
  <c r="R221" i="138"/>
  <c r="R194" i="147"/>
  <c r="Q222" i="134"/>
  <c r="S65" i="137"/>
  <c r="S52" i="138"/>
  <c r="T29" i="137"/>
  <c r="T33" i="137"/>
  <c r="S56" i="138"/>
  <c r="S69" i="137"/>
  <c r="S75" i="137"/>
  <c r="T39" i="137"/>
  <c r="S128" i="138"/>
  <c r="R55" i="134"/>
  <c r="R50" i="147"/>
  <c r="R67" i="138"/>
  <c r="Q59" i="147"/>
  <c r="Q69" i="134"/>
  <c r="Q68" i="134"/>
  <c r="Q63" i="134"/>
  <c r="Q132" i="147"/>
  <c r="R124" i="147"/>
  <c r="R146" i="138"/>
  <c r="R135" i="134"/>
  <c r="Q217" i="138"/>
  <c r="Q226" i="138" s="1"/>
  <c r="Q231" i="138"/>
  <c r="Q190" i="147"/>
  <c r="Q207" i="134"/>
  <c r="Q214" i="138"/>
  <c r="Q207" i="147"/>
  <c r="T55" i="137"/>
  <c r="S210" i="138"/>
  <c r="S91" i="137"/>
  <c r="Q206" i="147"/>
  <c r="Q66" i="134"/>
  <c r="Q147" i="134"/>
  <c r="Q143" i="134"/>
  <c r="R118" i="147"/>
  <c r="R129" i="134"/>
  <c r="R140" i="138"/>
  <c r="R53" i="134"/>
  <c r="R65" i="138"/>
  <c r="R48" i="147"/>
  <c r="Q63" i="147"/>
  <c r="R56" i="134"/>
  <c r="R51" i="147"/>
  <c r="R68" i="138"/>
  <c r="S66" i="137"/>
  <c r="S53" i="138"/>
  <c r="T30" i="137"/>
  <c r="Q144" i="134"/>
  <c r="Q57" i="147"/>
  <c r="S54" i="138"/>
  <c r="S67" i="137"/>
  <c r="T31" i="137"/>
  <c r="R54" i="134"/>
  <c r="R49" i="147"/>
  <c r="R66" i="138"/>
  <c r="P220" i="134"/>
  <c r="S206" i="138"/>
  <c r="T51" i="137"/>
  <c r="S87" i="137"/>
  <c r="Q142" i="134"/>
  <c r="Q67" i="134"/>
  <c r="R58" i="138"/>
  <c r="Q224" i="134"/>
  <c r="Q130" i="147"/>
  <c r="Q60" i="147"/>
  <c r="Q135" i="147"/>
  <c r="Q62" i="147"/>
  <c r="Q131" i="147"/>
  <c r="Q221" i="134"/>
  <c r="S209" i="138"/>
  <c r="T54" i="137"/>
  <c r="S90" i="137"/>
  <c r="R223" i="134"/>
  <c r="R56" i="147"/>
  <c r="S44" i="147"/>
  <c r="R62" i="134"/>
  <c r="T62" i="137"/>
  <c r="T49" i="138"/>
  <c r="U26" i="137"/>
  <c r="S61" i="138"/>
  <c r="S49" i="134"/>
  <c r="J46" i="137"/>
  <c r="M38" i="137"/>
  <c r="R50" i="134" l="1"/>
  <c r="R58" i="134" s="1"/>
  <c r="R62" i="138"/>
  <c r="R70" i="138" s="1"/>
  <c r="R45" i="147"/>
  <c r="R53" i="147" s="1"/>
  <c r="S50" i="138"/>
  <c r="S45" i="147" s="1"/>
  <c r="S63" i="137"/>
  <c r="S70" i="137" s="1"/>
  <c r="S34" i="137"/>
  <c r="Q58" i="134"/>
  <c r="O103" i="152"/>
  <c r="O103" i="144"/>
  <c r="O159" i="144"/>
  <c r="O215" i="152"/>
  <c r="O47" i="152"/>
  <c r="O47" i="144"/>
  <c r="P214" i="152"/>
  <c r="P158" i="152"/>
  <c r="P102" i="152"/>
  <c r="P199" i="147"/>
  <c r="P234" i="134"/>
  <c r="P236" i="134" s="1"/>
  <c r="P216" i="134"/>
  <c r="P216" i="147"/>
  <c r="P218" i="147" s="1"/>
  <c r="P158" i="144"/>
  <c r="P102" i="144"/>
  <c r="P214" i="144"/>
  <c r="R93" i="137"/>
  <c r="R212" i="138"/>
  <c r="S57" i="137"/>
  <c r="Q214" i="134"/>
  <c r="Q227" i="134" s="1"/>
  <c r="Q46" i="144" s="1"/>
  <c r="Q197" i="147"/>
  <c r="Q209" i="147" s="1"/>
  <c r="Q102" i="152" s="1"/>
  <c r="Q224" i="138"/>
  <c r="P179" i="144"/>
  <c r="P179" i="152"/>
  <c r="P67" i="152"/>
  <c r="P67" i="144"/>
  <c r="P123" i="152"/>
  <c r="P123" i="144"/>
  <c r="P11" i="152"/>
  <c r="P11" i="144"/>
  <c r="Q211" i="144"/>
  <c r="Q99" i="144"/>
  <c r="Q43" i="144"/>
  <c r="Q155" i="144"/>
  <c r="Q121" i="144"/>
  <c r="Q9" i="144"/>
  <c r="Q177" i="144"/>
  <c r="Q65" i="144"/>
  <c r="Q120" i="144"/>
  <c r="Q64" i="144"/>
  <c r="Q176" i="144"/>
  <c r="Q8" i="144"/>
  <c r="Q196" i="144"/>
  <c r="Q84" i="144"/>
  <c r="Q140" i="144"/>
  <c r="Q28" i="144"/>
  <c r="R59" i="152"/>
  <c r="R3" i="152"/>
  <c r="R115" i="152"/>
  <c r="R171" i="152"/>
  <c r="Q212" i="152"/>
  <c r="Q44" i="152"/>
  <c r="Q100" i="152"/>
  <c r="Q156" i="152"/>
  <c r="R210" i="152"/>
  <c r="R98" i="152"/>
  <c r="R154" i="152"/>
  <c r="R42" i="152"/>
  <c r="Q156" i="144"/>
  <c r="Q44" i="144"/>
  <c r="Q100" i="144"/>
  <c r="Q212" i="144"/>
  <c r="R138" i="144"/>
  <c r="R82" i="144"/>
  <c r="R26" i="144"/>
  <c r="R194" i="144"/>
  <c r="Q173" i="144"/>
  <c r="Q5" i="144"/>
  <c r="Q117" i="144"/>
  <c r="Q61" i="144"/>
  <c r="Q153" i="152"/>
  <c r="Q209" i="152"/>
  <c r="Q41" i="152"/>
  <c r="Q97" i="152"/>
  <c r="Q78" i="152"/>
  <c r="Q190" i="152"/>
  <c r="Q22" i="152"/>
  <c r="Q134" i="152"/>
  <c r="Q195" i="144"/>
  <c r="Q27" i="144"/>
  <c r="Q83" i="144"/>
  <c r="Q139" i="144"/>
  <c r="Q116" i="152"/>
  <c r="Q172" i="152"/>
  <c r="Q60" i="152"/>
  <c r="Q4" i="152"/>
  <c r="Q118" i="144"/>
  <c r="Q174" i="144"/>
  <c r="Q62" i="144"/>
  <c r="Q6" i="144"/>
  <c r="Q190" i="144"/>
  <c r="Q134" i="144"/>
  <c r="Q78" i="144"/>
  <c r="Q22" i="144"/>
  <c r="R59" i="144"/>
  <c r="R3" i="144"/>
  <c r="R171" i="144"/>
  <c r="R115" i="144"/>
  <c r="Q192" i="144"/>
  <c r="Q80" i="144"/>
  <c r="Q24" i="144"/>
  <c r="Q136" i="144"/>
  <c r="Q173" i="152"/>
  <c r="Q61" i="152"/>
  <c r="Q117" i="152"/>
  <c r="Q5" i="152"/>
  <c r="R42" i="144"/>
  <c r="R154" i="144"/>
  <c r="R210" i="144"/>
  <c r="R98" i="144"/>
  <c r="Q178" i="152"/>
  <c r="Q10" i="152"/>
  <c r="Q66" i="152"/>
  <c r="Q122" i="152"/>
  <c r="Q23" i="152"/>
  <c r="Q135" i="152"/>
  <c r="Q79" i="152"/>
  <c r="Q191" i="152"/>
  <c r="Q101" i="152"/>
  <c r="Q157" i="152"/>
  <c r="Q213" i="152"/>
  <c r="Q45" i="152"/>
  <c r="Q121" i="152"/>
  <c r="Q177" i="152"/>
  <c r="Q65" i="152"/>
  <c r="Q9" i="152"/>
  <c r="Q7" i="152"/>
  <c r="Q63" i="152"/>
  <c r="Q119" i="152"/>
  <c r="Q175" i="152"/>
  <c r="Q84" i="152"/>
  <c r="Q196" i="152"/>
  <c r="Q140" i="152"/>
  <c r="Q28" i="152"/>
  <c r="Q172" i="144"/>
  <c r="Q60" i="144"/>
  <c r="Q4" i="144"/>
  <c r="Q116" i="144"/>
  <c r="Q63" i="144"/>
  <c r="Q119" i="144"/>
  <c r="Q175" i="144"/>
  <c r="Q7" i="144"/>
  <c r="Q66" i="144"/>
  <c r="Q178" i="144"/>
  <c r="Q122" i="144"/>
  <c r="Q10" i="144"/>
  <c r="Q6" i="152"/>
  <c r="Q62" i="152"/>
  <c r="Q118" i="152"/>
  <c r="Q174" i="152"/>
  <c r="Q45" i="144"/>
  <c r="Q157" i="144"/>
  <c r="Q101" i="144"/>
  <c r="Q213" i="144"/>
  <c r="Q208" i="152"/>
  <c r="Q96" i="152"/>
  <c r="Q152" i="152"/>
  <c r="Q40" i="152"/>
  <c r="Q43" i="152"/>
  <c r="Q155" i="152"/>
  <c r="Q99" i="152"/>
  <c r="Q211" i="152"/>
  <c r="R194" i="152"/>
  <c r="R138" i="152"/>
  <c r="R82" i="152"/>
  <c r="R26" i="152"/>
  <c r="P229" i="134"/>
  <c r="P207" i="144"/>
  <c r="P151" i="144"/>
  <c r="P95" i="144"/>
  <c r="P39" i="144"/>
  <c r="P47" i="144" s="1"/>
  <c r="Q208" i="144"/>
  <c r="Q152" i="144"/>
  <c r="Q96" i="144"/>
  <c r="Q40" i="144"/>
  <c r="Q64" i="152"/>
  <c r="Q176" i="152"/>
  <c r="Q8" i="152"/>
  <c r="Q120" i="152"/>
  <c r="Q195" i="152"/>
  <c r="Q139" i="152"/>
  <c r="Q83" i="152"/>
  <c r="Q27" i="152"/>
  <c r="Q153" i="144"/>
  <c r="Q209" i="144"/>
  <c r="Q41" i="144"/>
  <c r="Q97" i="144"/>
  <c r="Q79" i="144"/>
  <c r="Q23" i="144"/>
  <c r="Q135" i="144"/>
  <c r="Q191" i="144"/>
  <c r="Q80" i="152"/>
  <c r="Q24" i="152"/>
  <c r="Q136" i="152"/>
  <c r="Q192" i="152"/>
  <c r="P211" i="147"/>
  <c r="P95" i="152"/>
  <c r="P151" i="152"/>
  <c r="P39" i="152"/>
  <c r="P47" i="152" s="1"/>
  <c r="P207" i="152"/>
  <c r="T34" i="137"/>
  <c r="Q71" i="134"/>
  <c r="Q65" i="147"/>
  <c r="T69" i="137"/>
  <c r="T56" i="138"/>
  <c r="U33" i="137"/>
  <c r="S86" i="137"/>
  <c r="S94" i="137" s="1"/>
  <c r="T50" i="137"/>
  <c r="S205" i="138"/>
  <c r="S58" i="137"/>
  <c r="S52" i="134"/>
  <c r="S47" i="147"/>
  <c r="S64" i="138"/>
  <c r="S54" i="134"/>
  <c r="S49" i="147"/>
  <c r="S66" i="138"/>
  <c r="T207" i="138"/>
  <c r="T88" i="137"/>
  <c r="U52" i="137"/>
  <c r="S211" i="134"/>
  <c r="S194" i="147"/>
  <c r="S221" i="138"/>
  <c r="R66" i="134"/>
  <c r="S205" i="147"/>
  <c r="U41" i="137"/>
  <c r="T130" i="138"/>
  <c r="T77" i="137"/>
  <c r="T122" i="147"/>
  <c r="T133" i="134"/>
  <c r="T144" i="138"/>
  <c r="R144" i="134"/>
  <c r="U132" i="138"/>
  <c r="V43" i="137"/>
  <c r="U79" i="137"/>
  <c r="R130" i="147"/>
  <c r="R221" i="134"/>
  <c r="R62" i="147"/>
  <c r="R203" i="147"/>
  <c r="T92" i="137"/>
  <c r="T211" i="138"/>
  <c r="U56" i="137"/>
  <c r="R132" i="147"/>
  <c r="S119" i="147"/>
  <c r="S141" i="138"/>
  <c r="S130" i="134"/>
  <c r="T50" i="138"/>
  <c r="T63" i="137"/>
  <c r="U27" i="137"/>
  <c r="U29" i="137"/>
  <c r="T65" i="137"/>
  <c r="T52" i="138"/>
  <c r="R67" i="134"/>
  <c r="R204" i="147"/>
  <c r="R207" i="147"/>
  <c r="R142" i="134"/>
  <c r="R148" i="134"/>
  <c r="R147" i="134"/>
  <c r="S118" i="147"/>
  <c r="S140" i="138"/>
  <c r="S129" i="134"/>
  <c r="R59" i="147"/>
  <c r="T81" i="137"/>
  <c r="U45" i="137"/>
  <c r="T134" i="138"/>
  <c r="R206" i="147"/>
  <c r="T209" i="138"/>
  <c r="T90" i="137"/>
  <c r="U54" i="137"/>
  <c r="Q202" i="147"/>
  <c r="S223" i="138"/>
  <c r="S213" i="134"/>
  <c r="S196" i="147"/>
  <c r="R136" i="147"/>
  <c r="U39" i="137"/>
  <c r="T128" i="138"/>
  <c r="T75" i="137"/>
  <c r="R208" i="147"/>
  <c r="R135" i="147"/>
  <c r="R65" i="134"/>
  <c r="S124" i="147"/>
  <c r="S146" i="138"/>
  <c r="S135" i="134"/>
  <c r="T64" i="137"/>
  <c r="T51" i="138"/>
  <c r="U28" i="137"/>
  <c r="S146" i="134"/>
  <c r="R217" i="138"/>
  <c r="R226" i="138" s="1"/>
  <c r="R207" i="134"/>
  <c r="R214" i="138"/>
  <c r="R190" i="147"/>
  <c r="R231" i="138"/>
  <c r="R63" i="147"/>
  <c r="S134" i="147"/>
  <c r="U31" i="137"/>
  <c r="T54" i="138"/>
  <c r="T67" i="137"/>
  <c r="R222" i="134"/>
  <c r="U55" i="137"/>
  <c r="T210" i="138"/>
  <c r="T91" i="137"/>
  <c r="S209" i="134"/>
  <c r="S219" i="138"/>
  <c r="S192" i="147"/>
  <c r="T129" i="138"/>
  <c r="T76" i="137"/>
  <c r="U40" i="137"/>
  <c r="T80" i="137"/>
  <c r="U44" i="137"/>
  <c r="T133" i="138"/>
  <c r="R60" i="147"/>
  <c r="R226" i="134"/>
  <c r="R58" i="147"/>
  <c r="S123" i="147"/>
  <c r="S134" i="134"/>
  <c r="S145" i="138"/>
  <c r="T210" i="134"/>
  <c r="T220" i="138"/>
  <c r="T193" i="147"/>
  <c r="R131" i="147"/>
  <c r="S46" i="147"/>
  <c r="S51" i="134"/>
  <c r="S63" i="138"/>
  <c r="R61" i="147"/>
  <c r="R69" i="134"/>
  <c r="S212" i="134"/>
  <c r="S195" i="147"/>
  <c r="S222" i="138"/>
  <c r="R224" i="134"/>
  <c r="S120" i="147"/>
  <c r="S131" i="134"/>
  <c r="S142" i="138"/>
  <c r="R225" i="134"/>
  <c r="S223" i="134"/>
  <c r="Q220" i="134"/>
  <c r="R68" i="134"/>
  <c r="U51" i="137"/>
  <c r="T87" i="137"/>
  <c r="T206" i="138"/>
  <c r="S191" i="147"/>
  <c r="S218" i="138"/>
  <c r="S208" i="134"/>
  <c r="U32" i="137"/>
  <c r="T68" i="137"/>
  <c r="T55" i="138"/>
  <c r="T66" i="137"/>
  <c r="T53" i="138"/>
  <c r="U30" i="137"/>
  <c r="S50" i="147"/>
  <c r="S67" i="138"/>
  <c r="S55" i="134"/>
  <c r="S48" i="147"/>
  <c r="S65" i="138"/>
  <c r="S53" i="134"/>
  <c r="S51" i="147"/>
  <c r="S56" i="134"/>
  <c r="S68" i="138"/>
  <c r="R143" i="134"/>
  <c r="R64" i="134"/>
  <c r="U208" i="138"/>
  <c r="U89" i="137"/>
  <c r="V53" i="137"/>
  <c r="S56" i="147"/>
  <c r="T44" i="147"/>
  <c r="S62" i="134"/>
  <c r="M74" i="137"/>
  <c r="M127" i="138"/>
  <c r="M117" i="147" s="1"/>
  <c r="U49" i="138"/>
  <c r="U62" i="137"/>
  <c r="V26" i="137"/>
  <c r="T61" i="138"/>
  <c r="T49" i="134"/>
  <c r="K46" i="137"/>
  <c r="N38" i="137"/>
  <c r="R57" i="147" l="1"/>
  <c r="R172" i="152" s="1"/>
  <c r="R63" i="134"/>
  <c r="R172" i="144" s="1"/>
  <c r="R76" i="134"/>
  <c r="R78" i="134" s="1"/>
  <c r="R70" i="147"/>
  <c r="R72" i="147" s="1"/>
  <c r="S75" i="138"/>
  <c r="S62" i="138"/>
  <c r="S70" i="138" s="1"/>
  <c r="S50" i="134"/>
  <c r="S76" i="134" s="1"/>
  <c r="S78" i="134" s="1"/>
  <c r="S58" i="138"/>
  <c r="P159" i="152"/>
  <c r="P103" i="152"/>
  <c r="Q214" i="152"/>
  <c r="Q158" i="152"/>
  <c r="P215" i="152"/>
  <c r="Q46" i="152"/>
  <c r="Q214" i="144"/>
  <c r="Q199" i="147"/>
  <c r="P159" i="144"/>
  <c r="P103" i="144"/>
  <c r="Q102" i="144"/>
  <c r="P215" i="144"/>
  <c r="Q158" i="144"/>
  <c r="Q216" i="147"/>
  <c r="Q218" i="147" s="1"/>
  <c r="Q234" i="134"/>
  <c r="Q236" i="134" s="1"/>
  <c r="R214" i="134"/>
  <c r="R227" i="134" s="1"/>
  <c r="R46" i="144" s="1"/>
  <c r="R197" i="147"/>
  <c r="R209" i="147" s="1"/>
  <c r="R102" i="152" s="1"/>
  <c r="R224" i="138"/>
  <c r="S93" i="137"/>
  <c r="T57" i="137"/>
  <c r="S212" i="138"/>
  <c r="Q123" i="152"/>
  <c r="Q179" i="152"/>
  <c r="Q179" i="144"/>
  <c r="Q11" i="144"/>
  <c r="Q11" i="152"/>
  <c r="Q123" i="144"/>
  <c r="Q67" i="144"/>
  <c r="Q67" i="152"/>
  <c r="S210" i="144"/>
  <c r="S154" i="144"/>
  <c r="S98" i="144"/>
  <c r="S42" i="144"/>
  <c r="R173" i="152"/>
  <c r="R61" i="152"/>
  <c r="R5" i="152"/>
  <c r="R117" i="152"/>
  <c r="R213" i="144"/>
  <c r="R45" i="144"/>
  <c r="R101" i="144"/>
  <c r="R157" i="144"/>
  <c r="R101" i="152"/>
  <c r="R157" i="152"/>
  <c r="R213" i="152"/>
  <c r="R45" i="152"/>
  <c r="R80" i="152"/>
  <c r="R24" i="152"/>
  <c r="R192" i="152"/>
  <c r="R136" i="152"/>
  <c r="R196" i="144"/>
  <c r="R140" i="144"/>
  <c r="R84" i="144"/>
  <c r="R28" i="144"/>
  <c r="R121" i="152"/>
  <c r="R177" i="152"/>
  <c r="R65" i="152"/>
  <c r="R9" i="152"/>
  <c r="R208" i="144"/>
  <c r="R152" i="144"/>
  <c r="R96" i="144"/>
  <c r="R40" i="144"/>
  <c r="R64" i="152"/>
  <c r="R120" i="152"/>
  <c r="R176" i="152"/>
  <c r="R8" i="152"/>
  <c r="R64" i="144"/>
  <c r="R120" i="144"/>
  <c r="R176" i="144"/>
  <c r="R8" i="144"/>
  <c r="Q229" i="134"/>
  <c r="Q207" i="144"/>
  <c r="Q95" i="144"/>
  <c r="Q39" i="144"/>
  <c r="Q47" i="144" s="1"/>
  <c r="Q151" i="144"/>
  <c r="R43" i="152"/>
  <c r="R99" i="152"/>
  <c r="R211" i="152"/>
  <c r="R155" i="152"/>
  <c r="S59" i="144"/>
  <c r="S171" i="144"/>
  <c r="S3" i="144"/>
  <c r="S115" i="144"/>
  <c r="R118" i="152"/>
  <c r="R6" i="152"/>
  <c r="R174" i="152"/>
  <c r="R62" i="152"/>
  <c r="S59" i="152"/>
  <c r="S3" i="152"/>
  <c r="S171" i="152"/>
  <c r="S115" i="152"/>
  <c r="R63" i="144"/>
  <c r="R119" i="144"/>
  <c r="R175" i="144"/>
  <c r="R7" i="144"/>
  <c r="R99" i="144"/>
  <c r="R211" i="144"/>
  <c r="R43" i="144"/>
  <c r="R155" i="144"/>
  <c r="R7" i="152"/>
  <c r="R119" i="152"/>
  <c r="R175" i="152"/>
  <c r="R63" i="152"/>
  <c r="R191" i="144"/>
  <c r="R135" i="144"/>
  <c r="R23" i="144"/>
  <c r="R79" i="144"/>
  <c r="S194" i="152"/>
  <c r="S138" i="152"/>
  <c r="S26" i="152"/>
  <c r="S82" i="152"/>
  <c r="R84" i="152"/>
  <c r="R196" i="152"/>
  <c r="R140" i="152"/>
  <c r="R28" i="152"/>
  <c r="R178" i="152"/>
  <c r="R10" i="152"/>
  <c r="R122" i="152"/>
  <c r="R66" i="152"/>
  <c r="R78" i="152"/>
  <c r="R134" i="152"/>
  <c r="R190" i="152"/>
  <c r="R22" i="152"/>
  <c r="R121" i="144"/>
  <c r="R9" i="144"/>
  <c r="R65" i="144"/>
  <c r="R177" i="144"/>
  <c r="Q211" i="147"/>
  <c r="Q39" i="152"/>
  <c r="Q207" i="152"/>
  <c r="Q151" i="152"/>
  <c r="Q95" i="152"/>
  <c r="Q103" i="152" s="1"/>
  <c r="R212" i="144"/>
  <c r="R44" i="144"/>
  <c r="R156" i="144"/>
  <c r="R100" i="144"/>
  <c r="R62" i="144"/>
  <c r="R118" i="144"/>
  <c r="R6" i="144"/>
  <c r="R174" i="144"/>
  <c r="S210" i="152"/>
  <c r="S98" i="152"/>
  <c r="S154" i="152"/>
  <c r="S42" i="152"/>
  <c r="R195" i="152"/>
  <c r="R27" i="152"/>
  <c r="R139" i="152"/>
  <c r="R83" i="152"/>
  <c r="R209" i="144"/>
  <c r="R153" i="144"/>
  <c r="R97" i="144"/>
  <c r="R41" i="144"/>
  <c r="R173" i="144"/>
  <c r="R117" i="144"/>
  <c r="R5" i="144"/>
  <c r="R61" i="144"/>
  <c r="R83" i="144"/>
  <c r="R27" i="144"/>
  <c r="R139" i="144"/>
  <c r="R195" i="144"/>
  <c r="R96" i="152"/>
  <c r="R208" i="152"/>
  <c r="R152" i="152"/>
  <c r="R40" i="152"/>
  <c r="R134" i="144"/>
  <c r="R78" i="144"/>
  <c r="R190" i="144"/>
  <c r="R22" i="144"/>
  <c r="R66" i="144"/>
  <c r="R178" i="144"/>
  <c r="R10" i="144"/>
  <c r="R122" i="144"/>
  <c r="R44" i="152"/>
  <c r="R212" i="152"/>
  <c r="R156" i="152"/>
  <c r="R100" i="152"/>
  <c r="R153" i="152"/>
  <c r="R41" i="152"/>
  <c r="R209" i="152"/>
  <c r="R97" i="152"/>
  <c r="R23" i="152"/>
  <c r="R79" i="152"/>
  <c r="R135" i="152"/>
  <c r="R191" i="152"/>
  <c r="S138" i="144"/>
  <c r="S82" i="144"/>
  <c r="S26" i="144"/>
  <c r="S194" i="144"/>
  <c r="R192" i="144"/>
  <c r="R136" i="144"/>
  <c r="R80" i="144"/>
  <c r="R24" i="144"/>
  <c r="T70" i="137"/>
  <c r="T58" i="138"/>
  <c r="U34" i="137"/>
  <c r="S70" i="147"/>
  <c r="S72" i="147" s="1"/>
  <c r="S60" i="147"/>
  <c r="R202" i="147"/>
  <c r="S142" i="134"/>
  <c r="S206" i="147"/>
  <c r="S208" i="147"/>
  <c r="U65" i="137"/>
  <c r="U52" i="138"/>
  <c r="V29" i="137"/>
  <c r="S224" i="134"/>
  <c r="U53" i="138"/>
  <c r="U66" i="137"/>
  <c r="V30" i="137"/>
  <c r="T48" i="147"/>
  <c r="T53" i="134"/>
  <c r="T65" i="138"/>
  <c r="S222" i="134"/>
  <c r="S67" i="134"/>
  <c r="V54" i="137"/>
  <c r="U90" i="137"/>
  <c r="U209" i="138"/>
  <c r="S136" i="147"/>
  <c r="S131" i="147"/>
  <c r="S59" i="147"/>
  <c r="U68" i="137"/>
  <c r="U55" i="138"/>
  <c r="V32" i="137"/>
  <c r="T221" i="138"/>
  <c r="T194" i="147"/>
  <c r="T211" i="134"/>
  <c r="T146" i="134"/>
  <c r="S65" i="134"/>
  <c r="S69" i="134"/>
  <c r="S221" i="134"/>
  <c r="S144" i="134"/>
  <c r="T66" i="138"/>
  <c r="T49" i="147"/>
  <c r="T54" i="134"/>
  <c r="T134" i="147"/>
  <c r="S207" i="147"/>
  <c r="T119" i="147"/>
  <c r="T141" i="138"/>
  <c r="T130" i="134"/>
  <c r="U128" i="138"/>
  <c r="U75" i="137"/>
  <c r="V39" i="137"/>
  <c r="S64" i="134"/>
  <c r="V55" i="137"/>
  <c r="U91" i="137"/>
  <c r="U210" i="138"/>
  <c r="S143" i="134"/>
  <c r="S203" i="147"/>
  <c r="T123" i="147"/>
  <c r="T134" i="134"/>
  <c r="T145" i="138"/>
  <c r="T124" i="147"/>
  <c r="T146" i="138"/>
  <c r="T135" i="134"/>
  <c r="T196" i="147"/>
  <c r="T223" i="138"/>
  <c r="T213" i="134"/>
  <c r="T120" i="147"/>
  <c r="T142" i="138"/>
  <c r="T131" i="134"/>
  <c r="U50" i="137"/>
  <c r="T58" i="137"/>
  <c r="T205" i="138"/>
  <c r="T86" i="137"/>
  <c r="T94" i="137" s="1"/>
  <c r="T47" i="147"/>
  <c r="T64" i="138"/>
  <c r="T52" i="134"/>
  <c r="S68" i="134"/>
  <c r="S130" i="147"/>
  <c r="S204" i="147"/>
  <c r="U88" i="137"/>
  <c r="V52" i="137"/>
  <c r="U207" i="138"/>
  <c r="V89" i="137"/>
  <c r="V208" i="138"/>
  <c r="U51" i="138"/>
  <c r="V28" i="137"/>
  <c r="U64" i="137"/>
  <c r="T191" i="147"/>
  <c r="T218" i="138"/>
  <c r="T208" i="134"/>
  <c r="T223" i="134"/>
  <c r="U80" i="137"/>
  <c r="U133" i="138"/>
  <c r="V44" i="137"/>
  <c r="V45" i="137"/>
  <c r="U134" i="138"/>
  <c r="U81" i="137"/>
  <c r="U77" i="137"/>
  <c r="V41" i="137"/>
  <c r="U130" i="138"/>
  <c r="S225" i="134"/>
  <c r="R220" i="134"/>
  <c r="S58" i="147"/>
  <c r="T212" i="134"/>
  <c r="T222" i="138"/>
  <c r="T195" i="147"/>
  <c r="U122" i="147"/>
  <c r="U144" i="138"/>
  <c r="U133" i="134"/>
  <c r="S148" i="134"/>
  <c r="S53" i="147"/>
  <c r="V33" i="137"/>
  <c r="U69" i="137"/>
  <c r="U56" i="138"/>
  <c r="T56" i="134"/>
  <c r="T51" i="147"/>
  <c r="T68" i="138"/>
  <c r="S62" i="147"/>
  <c r="S226" i="134"/>
  <c r="V27" i="137"/>
  <c r="U63" i="137"/>
  <c r="U50" i="138"/>
  <c r="T50" i="134"/>
  <c r="T45" i="147"/>
  <c r="T62" i="138"/>
  <c r="T192" i="147"/>
  <c r="T209" i="134"/>
  <c r="T219" i="138"/>
  <c r="T75" i="138"/>
  <c r="U220" i="138"/>
  <c r="U210" i="134"/>
  <c r="U193" i="147"/>
  <c r="T46" i="147"/>
  <c r="T63" i="138"/>
  <c r="T51" i="134"/>
  <c r="V79" i="137"/>
  <c r="V132" i="138"/>
  <c r="S61" i="147"/>
  <c r="T55" i="134"/>
  <c r="T67" i="138"/>
  <c r="T50" i="147"/>
  <c r="S63" i="147"/>
  <c r="S132" i="147"/>
  <c r="T205" i="147"/>
  <c r="V31" i="137"/>
  <c r="U67" i="137"/>
  <c r="U54" i="138"/>
  <c r="U92" i="137"/>
  <c r="V56" i="137"/>
  <c r="U211" i="138"/>
  <c r="S190" i="147"/>
  <c r="S207" i="134"/>
  <c r="S214" i="138"/>
  <c r="S231" i="138"/>
  <c r="S217" i="138"/>
  <c r="S226" i="138" s="1"/>
  <c r="S57" i="147"/>
  <c r="S66" i="134"/>
  <c r="U87" i="137"/>
  <c r="U206" i="138"/>
  <c r="V51" i="137"/>
  <c r="S147" i="134"/>
  <c r="U129" i="138"/>
  <c r="U76" i="137"/>
  <c r="V40" i="137"/>
  <c r="S135" i="147"/>
  <c r="T129" i="134"/>
  <c r="T118" i="147"/>
  <c r="T140" i="138"/>
  <c r="U44" i="147"/>
  <c r="T56" i="147"/>
  <c r="M129" i="147"/>
  <c r="T62" i="134"/>
  <c r="V62" i="137"/>
  <c r="V49" i="138"/>
  <c r="N74" i="137"/>
  <c r="N127" i="138"/>
  <c r="N117" i="147" s="1"/>
  <c r="U61" i="138"/>
  <c r="U49" i="134"/>
  <c r="M128" i="134"/>
  <c r="M139" i="138"/>
  <c r="M42" i="137"/>
  <c r="L46" i="137"/>
  <c r="O38" i="137"/>
  <c r="R116" i="152" l="1"/>
  <c r="R123" i="152" s="1"/>
  <c r="R4" i="152"/>
  <c r="R60" i="152"/>
  <c r="R67" i="152" s="1"/>
  <c r="R65" i="147"/>
  <c r="S63" i="134"/>
  <c r="S60" i="144" s="1"/>
  <c r="R60" i="144"/>
  <c r="R67" i="144" s="1"/>
  <c r="R71" i="134"/>
  <c r="R116" i="144"/>
  <c r="R123" i="144" s="1"/>
  <c r="R4" i="144"/>
  <c r="R11" i="144" s="1"/>
  <c r="S58" i="134"/>
  <c r="Q159" i="152"/>
  <c r="Q215" i="152"/>
  <c r="Q47" i="152"/>
  <c r="Q103" i="144"/>
  <c r="Q215" i="144"/>
  <c r="Q159" i="144"/>
  <c r="R46" i="152"/>
  <c r="R214" i="152"/>
  <c r="R158" i="152"/>
  <c r="R216" i="134"/>
  <c r="R234" i="134"/>
  <c r="R236" i="134" s="1"/>
  <c r="R216" i="147"/>
  <c r="R218" i="147" s="1"/>
  <c r="R214" i="144"/>
  <c r="R199" i="147"/>
  <c r="R158" i="144"/>
  <c r="R102" i="144"/>
  <c r="T93" i="137"/>
  <c r="U57" i="137"/>
  <c r="T212" i="138"/>
  <c r="S197" i="147"/>
  <c r="S209" i="147" s="1"/>
  <c r="S158" i="152" s="1"/>
  <c r="S214" i="134"/>
  <c r="S227" i="134" s="1"/>
  <c r="S46" i="144" s="1"/>
  <c r="S224" i="138"/>
  <c r="R11" i="152"/>
  <c r="R179" i="152"/>
  <c r="R179" i="144"/>
  <c r="S121" i="152"/>
  <c r="S177" i="152"/>
  <c r="S65" i="152"/>
  <c r="S9" i="152"/>
  <c r="S28" i="152"/>
  <c r="S84" i="152"/>
  <c r="S196" i="152"/>
  <c r="S140" i="152"/>
  <c r="S4" i="152"/>
  <c r="S116" i="152"/>
  <c r="S172" i="152"/>
  <c r="S60" i="152"/>
  <c r="T171" i="144"/>
  <c r="T3" i="144"/>
  <c r="T115" i="144"/>
  <c r="T59" i="144"/>
  <c r="S209" i="144"/>
  <c r="S153" i="144"/>
  <c r="S41" i="144"/>
  <c r="S97" i="144"/>
  <c r="T115" i="152"/>
  <c r="T171" i="152"/>
  <c r="T3" i="152"/>
  <c r="T59" i="152"/>
  <c r="S192" i="144"/>
  <c r="S136" i="144"/>
  <c r="S80" i="144"/>
  <c r="S24" i="144"/>
  <c r="S96" i="144"/>
  <c r="S40" i="144"/>
  <c r="S208" i="144"/>
  <c r="S152" i="144"/>
  <c r="S196" i="144"/>
  <c r="S84" i="144"/>
  <c r="S28" i="144"/>
  <c r="S140" i="144"/>
  <c r="S122" i="144"/>
  <c r="S178" i="144"/>
  <c r="S66" i="144"/>
  <c r="S10" i="144"/>
  <c r="S96" i="152"/>
  <c r="S152" i="152"/>
  <c r="S208" i="152"/>
  <c r="S40" i="152"/>
  <c r="S173" i="144"/>
  <c r="S5" i="144"/>
  <c r="S117" i="144"/>
  <c r="S61" i="144"/>
  <c r="S5" i="152"/>
  <c r="S173" i="152"/>
  <c r="S61" i="152"/>
  <c r="S117" i="152"/>
  <c r="S63" i="144"/>
  <c r="S119" i="144"/>
  <c r="S7" i="144"/>
  <c r="S175" i="144"/>
  <c r="S155" i="152"/>
  <c r="S43" i="152"/>
  <c r="S99" i="152"/>
  <c r="S211" i="152"/>
  <c r="S190" i="144"/>
  <c r="S134" i="144"/>
  <c r="S78" i="144"/>
  <c r="S22" i="144"/>
  <c r="R211" i="147"/>
  <c r="R39" i="152"/>
  <c r="R207" i="152"/>
  <c r="R95" i="152"/>
  <c r="R103" i="152" s="1"/>
  <c r="R151" i="152"/>
  <c r="M21" i="152"/>
  <c r="M77" i="152"/>
  <c r="M133" i="152"/>
  <c r="M189" i="152"/>
  <c r="S22" i="152"/>
  <c r="S78" i="152"/>
  <c r="S134" i="152"/>
  <c r="S190" i="152"/>
  <c r="S174" i="144"/>
  <c r="S62" i="144"/>
  <c r="S6" i="144"/>
  <c r="S118" i="144"/>
  <c r="T210" i="144"/>
  <c r="T154" i="144"/>
  <c r="T42" i="144"/>
  <c r="T98" i="144"/>
  <c r="T194" i="144"/>
  <c r="T138" i="144"/>
  <c r="T82" i="144"/>
  <c r="T26" i="144"/>
  <c r="S80" i="152"/>
  <c r="S24" i="152"/>
  <c r="S192" i="152"/>
  <c r="S136" i="152"/>
  <c r="S83" i="144"/>
  <c r="S27" i="144"/>
  <c r="S139" i="144"/>
  <c r="S195" i="144"/>
  <c r="V34" i="137"/>
  <c r="S118" i="152"/>
  <c r="S6" i="152"/>
  <c r="S174" i="152"/>
  <c r="S62" i="152"/>
  <c r="S64" i="152"/>
  <c r="S120" i="152"/>
  <c r="S176" i="152"/>
  <c r="S8" i="152"/>
  <c r="S212" i="144"/>
  <c r="S100" i="144"/>
  <c r="S156" i="144"/>
  <c r="S44" i="144"/>
  <c r="S44" i="152"/>
  <c r="S212" i="152"/>
  <c r="S156" i="152"/>
  <c r="S100" i="152"/>
  <c r="T26" i="152"/>
  <c r="T194" i="152"/>
  <c r="T138" i="152"/>
  <c r="T82" i="152"/>
  <c r="S64" i="144"/>
  <c r="S120" i="144"/>
  <c r="S176" i="144"/>
  <c r="S8" i="144"/>
  <c r="S63" i="152"/>
  <c r="S175" i="152"/>
  <c r="S119" i="152"/>
  <c r="S7" i="152"/>
  <c r="S153" i="152"/>
  <c r="S41" i="152"/>
  <c r="S209" i="152"/>
  <c r="S97" i="152"/>
  <c r="S121" i="144"/>
  <c r="S65" i="144"/>
  <c r="S177" i="144"/>
  <c r="S9" i="144"/>
  <c r="S135" i="144"/>
  <c r="S79" i="144"/>
  <c r="S23" i="144"/>
  <c r="S191" i="144"/>
  <c r="S195" i="152"/>
  <c r="S139" i="152"/>
  <c r="S27" i="152"/>
  <c r="S83" i="152"/>
  <c r="T210" i="152"/>
  <c r="T154" i="152"/>
  <c r="T98" i="152"/>
  <c r="T42" i="152"/>
  <c r="S155" i="144"/>
  <c r="S99" i="144"/>
  <c r="S211" i="144"/>
  <c r="S43" i="144"/>
  <c r="S178" i="152"/>
  <c r="S66" i="152"/>
  <c r="S122" i="152"/>
  <c r="S10" i="152"/>
  <c r="S157" i="144"/>
  <c r="S45" i="144"/>
  <c r="S213" i="144"/>
  <c r="S101" i="144"/>
  <c r="R229" i="134"/>
  <c r="R207" i="144"/>
  <c r="R95" i="144"/>
  <c r="R39" i="144"/>
  <c r="R47" i="144" s="1"/>
  <c r="R151" i="144"/>
  <c r="S135" i="152"/>
  <c r="S23" i="152"/>
  <c r="S79" i="152"/>
  <c r="S191" i="152"/>
  <c r="S101" i="152"/>
  <c r="S157" i="152"/>
  <c r="S45" i="152"/>
  <c r="S213" i="152"/>
  <c r="U70" i="137"/>
  <c r="T53" i="147"/>
  <c r="T70" i="138"/>
  <c r="S65" i="147"/>
  <c r="U65" i="138"/>
  <c r="U48" i="147"/>
  <c r="U53" i="134"/>
  <c r="T62" i="147"/>
  <c r="T63" i="134"/>
  <c r="V130" i="138"/>
  <c r="V77" i="137"/>
  <c r="U194" i="147"/>
  <c r="U211" i="134"/>
  <c r="U221" i="138"/>
  <c r="U134" i="147"/>
  <c r="V210" i="138"/>
  <c r="V91" i="137"/>
  <c r="T130" i="147"/>
  <c r="S220" i="134"/>
  <c r="S202" i="147"/>
  <c r="V122" i="147"/>
  <c r="V144" i="138"/>
  <c r="V133" i="134"/>
  <c r="V210" i="134"/>
  <c r="V193" i="147"/>
  <c r="V220" i="138"/>
  <c r="T207" i="147"/>
  <c r="V211" i="138"/>
  <c r="V92" i="137"/>
  <c r="T64" i="134"/>
  <c r="T225" i="134"/>
  <c r="T208" i="147"/>
  <c r="T143" i="134"/>
  <c r="U49" i="147"/>
  <c r="U54" i="134"/>
  <c r="U66" i="138"/>
  <c r="T58" i="147"/>
  <c r="T148" i="134"/>
  <c r="T224" i="134"/>
  <c r="T76" i="134"/>
  <c r="T78" i="134" s="1"/>
  <c r="U119" i="147"/>
  <c r="U130" i="134"/>
  <c r="U141" i="138"/>
  <c r="U205" i="147"/>
  <c r="T63" i="147"/>
  <c r="T131" i="147"/>
  <c r="T206" i="147"/>
  <c r="V75" i="137"/>
  <c r="V128" i="138"/>
  <c r="U118" i="147"/>
  <c r="U140" i="138"/>
  <c r="U129" i="134"/>
  <c r="V68" i="137"/>
  <c r="V55" i="138"/>
  <c r="T57" i="147"/>
  <c r="U62" i="138"/>
  <c r="U45" i="147"/>
  <c r="U50" i="134"/>
  <c r="V64" i="137"/>
  <c r="V51" i="138"/>
  <c r="T190" i="147"/>
  <c r="T207" i="134"/>
  <c r="T214" i="138"/>
  <c r="T231" i="138"/>
  <c r="T217" i="138"/>
  <c r="T226" i="138" s="1"/>
  <c r="U212" i="134"/>
  <c r="U195" i="147"/>
  <c r="U222" i="138"/>
  <c r="V52" i="138"/>
  <c r="V65" i="137"/>
  <c r="U205" i="138"/>
  <c r="U58" i="137"/>
  <c r="U86" i="137"/>
  <c r="U94" i="137" s="1"/>
  <c r="V50" i="137"/>
  <c r="U123" i="147"/>
  <c r="U134" i="134"/>
  <c r="U145" i="138"/>
  <c r="U219" i="138"/>
  <c r="U192" i="147"/>
  <c r="U209" i="134"/>
  <c r="U75" i="138"/>
  <c r="V206" i="138"/>
  <c r="V87" i="137"/>
  <c r="T203" i="147"/>
  <c r="T147" i="134"/>
  <c r="U50" i="147"/>
  <c r="U55" i="134"/>
  <c r="U67" i="138"/>
  <c r="T66" i="134"/>
  <c r="V209" i="138"/>
  <c r="V90" i="137"/>
  <c r="T142" i="134"/>
  <c r="U124" i="147"/>
  <c r="U146" i="138"/>
  <c r="U135" i="134"/>
  <c r="V69" i="137"/>
  <c r="V56" i="138"/>
  <c r="T135" i="147"/>
  <c r="T60" i="147"/>
  <c r="U146" i="134"/>
  <c r="T144" i="134"/>
  <c r="V81" i="137"/>
  <c r="V134" i="138"/>
  <c r="V67" i="137"/>
  <c r="V54" i="138"/>
  <c r="T69" i="134"/>
  <c r="T221" i="134"/>
  <c r="U68" i="138"/>
  <c r="U56" i="134"/>
  <c r="U51" i="147"/>
  <c r="T67" i="134"/>
  <c r="V66" i="137"/>
  <c r="V53" i="138"/>
  <c r="T59" i="147"/>
  <c r="U120" i="147"/>
  <c r="U142" i="138"/>
  <c r="U131" i="134"/>
  <c r="T68" i="134"/>
  <c r="U63" i="138"/>
  <c r="U46" i="147"/>
  <c r="U51" i="134"/>
  <c r="U47" i="147"/>
  <c r="U64" i="138"/>
  <c r="U52" i="134"/>
  <c r="V63" i="137"/>
  <c r="V50" i="138"/>
  <c r="T132" i="147"/>
  <c r="U196" i="147"/>
  <c r="U213" i="134"/>
  <c r="U223" i="138"/>
  <c r="V80" i="137"/>
  <c r="V133" i="138"/>
  <c r="T226" i="134"/>
  <c r="T58" i="134"/>
  <c r="T70" i="147"/>
  <c r="T72" i="147" s="1"/>
  <c r="V129" i="138"/>
  <c r="V76" i="137"/>
  <c r="V88" i="137"/>
  <c r="V207" i="138"/>
  <c r="U223" i="134"/>
  <c r="T136" i="147"/>
  <c r="U218" i="138"/>
  <c r="U208" i="134"/>
  <c r="U191" i="147"/>
  <c r="U58" i="138"/>
  <c r="T222" i="134"/>
  <c r="T204" i="147"/>
  <c r="T65" i="134"/>
  <c r="T61" i="147"/>
  <c r="U56" i="147"/>
  <c r="V44" i="147"/>
  <c r="N129" i="147"/>
  <c r="M141" i="134"/>
  <c r="M78" i="137"/>
  <c r="M82" i="137" s="1"/>
  <c r="M131" i="138"/>
  <c r="M121" i="147" s="1"/>
  <c r="U62" i="134"/>
  <c r="N139" i="138"/>
  <c r="N128" i="134"/>
  <c r="V61" i="138"/>
  <c r="V49" i="134"/>
  <c r="O74" i="137"/>
  <c r="O127" i="138"/>
  <c r="O117" i="147" s="1"/>
  <c r="N42" i="137"/>
  <c r="M46" i="137"/>
  <c r="P38" i="137"/>
  <c r="S172" i="144" l="1"/>
  <c r="S179" i="144" s="1"/>
  <c r="S71" i="134"/>
  <c r="S116" i="144"/>
  <c r="S123" i="144" s="1"/>
  <c r="S4" i="144"/>
  <c r="S11" i="144" s="1"/>
  <c r="R159" i="152"/>
  <c r="R215" i="152"/>
  <c r="R215" i="144"/>
  <c r="S216" i="134"/>
  <c r="R47" i="152"/>
  <c r="R103" i="144"/>
  <c r="S102" i="152"/>
  <c r="R159" i="144"/>
  <c r="S46" i="152"/>
  <c r="S214" i="152"/>
  <c r="S234" i="134"/>
  <c r="S236" i="134" s="1"/>
  <c r="S216" i="147"/>
  <c r="S218" i="147" s="1"/>
  <c r="S158" i="144"/>
  <c r="S199" i="147"/>
  <c r="S214" i="144"/>
  <c r="T224" i="138"/>
  <c r="T197" i="147"/>
  <c r="T209" i="147" s="1"/>
  <c r="T102" i="152" s="1"/>
  <c r="T214" i="134"/>
  <c r="T227" i="134" s="1"/>
  <c r="T102" i="144" s="1"/>
  <c r="U212" i="138"/>
  <c r="U93" i="137"/>
  <c r="V57" i="137"/>
  <c r="S102" i="144"/>
  <c r="S67" i="152"/>
  <c r="S67" i="144"/>
  <c r="S11" i="152"/>
  <c r="S179" i="152"/>
  <c r="S123" i="152"/>
  <c r="M77" i="144"/>
  <c r="M21" i="144"/>
  <c r="M189" i="144"/>
  <c r="M133" i="144"/>
  <c r="U171" i="152"/>
  <c r="U115" i="152"/>
  <c r="U59" i="152"/>
  <c r="U3" i="152"/>
  <c r="S229" i="134"/>
  <c r="S207" i="144"/>
  <c r="S95" i="144"/>
  <c r="S39" i="144"/>
  <c r="S47" i="144" s="1"/>
  <c r="S151" i="144"/>
  <c r="T120" i="152"/>
  <c r="T176" i="152"/>
  <c r="T64" i="152"/>
  <c r="T8" i="152"/>
  <c r="T174" i="144"/>
  <c r="T62" i="144"/>
  <c r="T6" i="144"/>
  <c r="T118" i="144"/>
  <c r="T153" i="152"/>
  <c r="T41" i="152"/>
  <c r="T209" i="152"/>
  <c r="T97" i="152"/>
  <c r="T209" i="144"/>
  <c r="T153" i="144"/>
  <c r="T41" i="144"/>
  <c r="T97" i="144"/>
  <c r="T175" i="144"/>
  <c r="T119" i="144"/>
  <c r="T63" i="144"/>
  <c r="T7" i="144"/>
  <c r="T101" i="152"/>
  <c r="T45" i="152"/>
  <c r="T157" i="152"/>
  <c r="T213" i="152"/>
  <c r="T139" i="144"/>
  <c r="T83" i="144"/>
  <c r="T27" i="144"/>
  <c r="T195" i="144"/>
  <c r="T84" i="152"/>
  <c r="T196" i="152"/>
  <c r="T28" i="152"/>
  <c r="T140" i="152"/>
  <c r="T44" i="152"/>
  <c r="T156" i="152"/>
  <c r="T212" i="152"/>
  <c r="T100" i="152"/>
  <c r="U210" i="144"/>
  <c r="U154" i="144"/>
  <c r="U42" i="144"/>
  <c r="U98" i="144"/>
  <c r="U194" i="144"/>
  <c r="U138" i="144"/>
  <c r="U26" i="144"/>
  <c r="U82" i="144"/>
  <c r="T178" i="152"/>
  <c r="T66" i="152"/>
  <c r="T10" i="152"/>
  <c r="T122" i="152"/>
  <c r="T6" i="152"/>
  <c r="T118" i="152"/>
  <c r="T174" i="152"/>
  <c r="T62" i="152"/>
  <c r="T213" i="144"/>
  <c r="T45" i="144"/>
  <c r="T101" i="144"/>
  <c r="T157" i="144"/>
  <c r="T4" i="152"/>
  <c r="T172" i="152"/>
  <c r="T116" i="152"/>
  <c r="T60" i="152"/>
  <c r="T84" i="144"/>
  <c r="T28" i="144"/>
  <c r="T196" i="144"/>
  <c r="T140" i="144"/>
  <c r="T5" i="152"/>
  <c r="T61" i="152"/>
  <c r="T173" i="152"/>
  <c r="T117" i="152"/>
  <c r="T96" i="144"/>
  <c r="T208" i="144"/>
  <c r="T40" i="144"/>
  <c r="T152" i="144"/>
  <c r="T22" i="152"/>
  <c r="T134" i="152"/>
  <c r="T190" i="152"/>
  <c r="T78" i="152"/>
  <c r="T44" i="144"/>
  <c r="T100" i="144"/>
  <c r="T156" i="144"/>
  <c r="T212" i="144"/>
  <c r="U138" i="152"/>
  <c r="U26" i="152"/>
  <c r="U194" i="152"/>
  <c r="U82" i="152"/>
  <c r="T155" i="152"/>
  <c r="T211" i="152"/>
  <c r="T99" i="152"/>
  <c r="T43" i="152"/>
  <c r="T135" i="152"/>
  <c r="T23" i="152"/>
  <c r="T79" i="152"/>
  <c r="T191" i="152"/>
  <c r="T121" i="144"/>
  <c r="T65" i="144"/>
  <c r="T177" i="144"/>
  <c r="T9" i="144"/>
  <c r="T175" i="152"/>
  <c r="T63" i="152"/>
  <c r="T119" i="152"/>
  <c r="T7" i="152"/>
  <c r="U98" i="152"/>
  <c r="U154" i="152"/>
  <c r="U210" i="152"/>
  <c r="U42" i="152"/>
  <c r="T121" i="152"/>
  <c r="T65" i="152"/>
  <c r="T177" i="152"/>
  <c r="T9" i="152"/>
  <c r="N21" i="152"/>
  <c r="N133" i="152"/>
  <c r="N189" i="152"/>
  <c r="N77" i="152"/>
  <c r="T211" i="144"/>
  <c r="T155" i="144"/>
  <c r="T99" i="144"/>
  <c r="T43" i="144"/>
  <c r="S211" i="147"/>
  <c r="S95" i="152"/>
  <c r="S207" i="152"/>
  <c r="S39" i="152"/>
  <c r="S151" i="152"/>
  <c r="S159" i="152" s="1"/>
  <c r="T64" i="144"/>
  <c r="T120" i="144"/>
  <c r="T176" i="144"/>
  <c r="T8" i="144"/>
  <c r="T78" i="144"/>
  <c r="T134" i="144"/>
  <c r="T190" i="144"/>
  <c r="T22" i="144"/>
  <c r="T80" i="152"/>
  <c r="T192" i="152"/>
  <c r="T24" i="152"/>
  <c r="T136" i="152"/>
  <c r="T135" i="144"/>
  <c r="T191" i="144"/>
  <c r="T23" i="144"/>
  <c r="T79" i="144"/>
  <c r="T122" i="144"/>
  <c r="T66" i="144"/>
  <c r="T178" i="144"/>
  <c r="T10" i="144"/>
  <c r="T61" i="144"/>
  <c r="T173" i="144"/>
  <c r="T5" i="144"/>
  <c r="T117" i="144"/>
  <c r="T96" i="152"/>
  <c r="T208" i="152"/>
  <c r="T152" i="152"/>
  <c r="T40" i="152"/>
  <c r="T192" i="144"/>
  <c r="T80" i="144"/>
  <c r="T136" i="144"/>
  <c r="T24" i="144"/>
  <c r="U171" i="144"/>
  <c r="U115" i="144"/>
  <c r="U3" i="144"/>
  <c r="U59" i="144"/>
  <c r="T195" i="152"/>
  <c r="T139" i="152"/>
  <c r="T27" i="152"/>
  <c r="T83" i="152"/>
  <c r="T60" i="144"/>
  <c r="T172" i="144"/>
  <c r="T116" i="144"/>
  <c r="T4" i="144"/>
  <c r="V75" i="138"/>
  <c r="V70" i="137"/>
  <c r="U53" i="147"/>
  <c r="T71" i="134"/>
  <c r="U70" i="138"/>
  <c r="T65" i="147"/>
  <c r="U225" i="134"/>
  <c r="U130" i="147"/>
  <c r="V196" i="147"/>
  <c r="V223" i="138"/>
  <c r="V213" i="134"/>
  <c r="V140" i="138"/>
  <c r="V118" i="147"/>
  <c r="V129" i="134"/>
  <c r="T220" i="134"/>
  <c r="V192" i="147"/>
  <c r="V219" i="138"/>
  <c r="V209" i="134"/>
  <c r="U64" i="134"/>
  <c r="V56" i="134"/>
  <c r="V68" i="138"/>
  <c r="V51" i="147"/>
  <c r="T202" i="147"/>
  <c r="V205" i="147"/>
  <c r="U58" i="147"/>
  <c r="V54" i="134"/>
  <c r="V49" i="147"/>
  <c r="V66" i="138"/>
  <c r="U204" i="147"/>
  <c r="U61" i="147"/>
  <c r="U147" i="134"/>
  <c r="U144" i="134"/>
  <c r="U135" i="147"/>
  <c r="V120" i="147"/>
  <c r="V142" i="138"/>
  <c r="V131" i="134"/>
  <c r="V86" i="137"/>
  <c r="V94" i="137" s="1"/>
  <c r="V205" i="138"/>
  <c r="V58" i="137"/>
  <c r="U65" i="134"/>
  <c r="U59" i="147"/>
  <c r="V223" i="134"/>
  <c r="U63" i="134"/>
  <c r="V134" i="147"/>
  <c r="V123" i="147"/>
  <c r="V145" i="138"/>
  <c r="V134" i="134"/>
  <c r="U190" i="147"/>
  <c r="U217" i="138"/>
  <c r="U226" i="138" s="1"/>
  <c r="U207" i="134"/>
  <c r="U231" i="138"/>
  <c r="U214" i="138"/>
  <c r="V45" i="147"/>
  <c r="V50" i="134"/>
  <c r="V62" i="138"/>
  <c r="U58" i="134"/>
  <c r="U76" i="134"/>
  <c r="U78" i="134" s="1"/>
  <c r="U206" i="147"/>
  <c r="V67" i="138"/>
  <c r="V55" i="134"/>
  <c r="V50" i="147"/>
  <c r="U66" i="134"/>
  <c r="U207" i="147"/>
  <c r="U63" i="147"/>
  <c r="U69" i="134"/>
  <c r="V195" i="147"/>
  <c r="V212" i="134"/>
  <c r="V222" i="138"/>
  <c r="V46" i="147"/>
  <c r="V63" i="138"/>
  <c r="V51" i="134"/>
  <c r="V146" i="134"/>
  <c r="V119" i="147"/>
  <c r="V141" i="138"/>
  <c r="V130" i="134"/>
  <c r="U132" i="147"/>
  <c r="U203" i="147"/>
  <c r="U226" i="134"/>
  <c r="V48" i="147"/>
  <c r="V65" i="138"/>
  <c r="V53" i="134"/>
  <c r="U208" i="147"/>
  <c r="U68" i="134"/>
  <c r="V47" i="147"/>
  <c r="V64" i="138"/>
  <c r="V52" i="134"/>
  <c r="U143" i="134"/>
  <c r="U60" i="147"/>
  <c r="V218" i="138"/>
  <c r="V208" i="134"/>
  <c r="V191" i="147"/>
  <c r="U222" i="134"/>
  <c r="U148" i="134"/>
  <c r="U67" i="134"/>
  <c r="U224" i="134"/>
  <c r="V124" i="147"/>
  <c r="V146" i="138"/>
  <c r="V135" i="134"/>
  <c r="U136" i="147"/>
  <c r="U57" i="147"/>
  <c r="V194" i="147"/>
  <c r="V211" i="134"/>
  <c r="V221" i="138"/>
  <c r="V58" i="138"/>
  <c r="U70" i="147"/>
  <c r="U72" i="147" s="1"/>
  <c r="U221" i="134"/>
  <c r="U62" i="147"/>
  <c r="U142" i="134"/>
  <c r="U131" i="147"/>
  <c r="O129" i="147"/>
  <c r="V56" i="147"/>
  <c r="M133" i="147"/>
  <c r="M143" i="147"/>
  <c r="M145" i="147" s="1"/>
  <c r="M126" i="147"/>
  <c r="N141" i="134"/>
  <c r="N78" i="137"/>
  <c r="N82" i="137" s="1"/>
  <c r="N131" i="138"/>
  <c r="N121" i="147" s="1"/>
  <c r="M143" i="138"/>
  <c r="M148" i="138" s="1"/>
  <c r="M216" i="134" s="1"/>
  <c r="M132" i="134"/>
  <c r="M136" i="138"/>
  <c r="M153" i="138"/>
  <c r="V62" i="134"/>
  <c r="P74" i="137"/>
  <c r="P127" i="138"/>
  <c r="P117" i="147" s="1"/>
  <c r="O128" i="134"/>
  <c r="O139" i="138"/>
  <c r="O42" i="137"/>
  <c r="N46" i="137"/>
  <c r="Q38" i="137"/>
  <c r="S215" i="152" l="1"/>
  <c r="S103" i="152"/>
  <c r="T234" i="134"/>
  <c r="T236" i="134" s="1"/>
  <c r="S47" i="152"/>
  <c r="S159" i="144"/>
  <c r="T216" i="134"/>
  <c r="S215" i="144"/>
  <c r="T158" i="152"/>
  <c r="T214" i="152"/>
  <c r="T199" i="147"/>
  <c r="T214" i="144"/>
  <c r="T216" i="147"/>
  <c r="T218" i="147" s="1"/>
  <c r="T46" i="144"/>
  <c r="U214" i="134"/>
  <c r="U227" i="134" s="1"/>
  <c r="U214" i="144" s="1"/>
  <c r="U197" i="147"/>
  <c r="U209" i="147" s="1"/>
  <c r="U158" i="152" s="1"/>
  <c r="U224" i="138"/>
  <c r="T46" i="152"/>
  <c r="T158" i="144"/>
  <c r="S103" i="144"/>
  <c r="V212" i="138"/>
  <c r="V93" i="137"/>
  <c r="T123" i="152"/>
  <c r="T179" i="152"/>
  <c r="T11" i="144"/>
  <c r="T123" i="144"/>
  <c r="T179" i="144"/>
  <c r="T67" i="144"/>
  <c r="T67" i="152"/>
  <c r="T11" i="152"/>
  <c r="O189" i="152"/>
  <c r="O133" i="152"/>
  <c r="O21" i="152"/>
  <c r="O77" i="152"/>
  <c r="U97" i="144"/>
  <c r="U153" i="144"/>
  <c r="U209" i="144"/>
  <c r="U41" i="144"/>
  <c r="V194" i="144"/>
  <c r="V138" i="144"/>
  <c r="V82" i="144"/>
  <c r="V26" i="144"/>
  <c r="U192" i="144"/>
  <c r="U136" i="144"/>
  <c r="U80" i="144"/>
  <c r="U24" i="144"/>
  <c r="U139" i="144"/>
  <c r="U83" i="144"/>
  <c r="U27" i="144"/>
  <c r="U195" i="144"/>
  <c r="U64" i="152"/>
  <c r="U176" i="152"/>
  <c r="U8" i="152"/>
  <c r="U120" i="152"/>
  <c r="U66" i="144"/>
  <c r="U122" i="144"/>
  <c r="U178" i="144"/>
  <c r="U10" i="144"/>
  <c r="U117" i="152"/>
  <c r="U5" i="152"/>
  <c r="U173" i="152"/>
  <c r="U61" i="152"/>
  <c r="U63" i="144"/>
  <c r="U7" i="144"/>
  <c r="U175" i="144"/>
  <c r="U119" i="144"/>
  <c r="V154" i="152"/>
  <c r="V210" i="152"/>
  <c r="V98" i="152"/>
  <c r="V42" i="152"/>
  <c r="N77" i="144"/>
  <c r="N21" i="144"/>
  <c r="N189" i="144"/>
  <c r="N133" i="144"/>
  <c r="T211" i="147"/>
  <c r="T39" i="152"/>
  <c r="T95" i="152"/>
  <c r="T103" i="152" s="1"/>
  <c r="T151" i="152"/>
  <c r="T207" i="152"/>
  <c r="U62" i="144"/>
  <c r="U174" i="144"/>
  <c r="U6" i="144"/>
  <c r="U118" i="144"/>
  <c r="V115" i="152"/>
  <c r="V3" i="152"/>
  <c r="V59" i="152"/>
  <c r="V171" i="152"/>
  <c r="U135" i="152"/>
  <c r="U23" i="152"/>
  <c r="U191" i="152"/>
  <c r="U79" i="152"/>
  <c r="U195" i="152"/>
  <c r="U139" i="152"/>
  <c r="U83" i="152"/>
  <c r="U27" i="152"/>
  <c r="U7" i="152"/>
  <c r="U175" i="152"/>
  <c r="U63" i="152"/>
  <c r="U119" i="152"/>
  <c r="U208" i="144"/>
  <c r="U96" i="144"/>
  <c r="U152" i="144"/>
  <c r="U40" i="144"/>
  <c r="V59" i="144"/>
  <c r="V115" i="144"/>
  <c r="V3" i="144"/>
  <c r="V171" i="144"/>
  <c r="U122" i="152"/>
  <c r="U178" i="152"/>
  <c r="U66" i="152"/>
  <c r="U10" i="152"/>
  <c r="V138" i="152"/>
  <c r="V82" i="152"/>
  <c r="V26" i="152"/>
  <c r="V194" i="152"/>
  <c r="U60" i="144"/>
  <c r="U172" i="144"/>
  <c r="U116" i="144"/>
  <c r="U4" i="144"/>
  <c r="U60" i="152"/>
  <c r="U172" i="152"/>
  <c r="U4" i="152"/>
  <c r="U116" i="152"/>
  <c r="V154" i="144"/>
  <c r="V210" i="144"/>
  <c r="V98" i="144"/>
  <c r="V42" i="144"/>
  <c r="U212" i="144"/>
  <c r="U156" i="144"/>
  <c r="U100" i="144"/>
  <c r="U44" i="144"/>
  <c r="U174" i="152"/>
  <c r="U6" i="152"/>
  <c r="U118" i="152"/>
  <c r="U62" i="152"/>
  <c r="U45" i="144"/>
  <c r="U213" i="144"/>
  <c r="U157" i="144"/>
  <c r="U101" i="144"/>
  <c r="U40" i="152"/>
  <c r="U152" i="152"/>
  <c r="U96" i="152"/>
  <c r="U208" i="152"/>
  <c r="U155" i="152"/>
  <c r="U99" i="152"/>
  <c r="U43" i="152"/>
  <c r="U211" i="152"/>
  <c r="U176" i="144"/>
  <c r="U64" i="144"/>
  <c r="U120" i="144"/>
  <c r="U8" i="144"/>
  <c r="U196" i="144"/>
  <c r="U84" i="144"/>
  <c r="U28" i="144"/>
  <c r="U140" i="144"/>
  <c r="U61" i="144"/>
  <c r="U173" i="144"/>
  <c r="U5" i="144"/>
  <c r="U117" i="144"/>
  <c r="U134" i="144"/>
  <c r="U78" i="144"/>
  <c r="U190" i="144"/>
  <c r="U22" i="144"/>
  <c r="T229" i="134"/>
  <c r="T207" i="144"/>
  <c r="T95" i="144"/>
  <c r="T103" i="144" s="1"/>
  <c r="T39" i="144"/>
  <c r="T151" i="144"/>
  <c r="U65" i="152"/>
  <c r="U121" i="152"/>
  <c r="U177" i="152"/>
  <c r="U9" i="152"/>
  <c r="U191" i="144"/>
  <c r="U135" i="144"/>
  <c r="U23" i="144"/>
  <c r="U79" i="144"/>
  <c r="U41" i="152"/>
  <c r="U153" i="152"/>
  <c r="U209" i="152"/>
  <c r="U97" i="152"/>
  <c r="U65" i="144"/>
  <c r="U121" i="144"/>
  <c r="U177" i="144"/>
  <c r="U9" i="144"/>
  <c r="U101" i="152"/>
  <c r="U45" i="152"/>
  <c r="U157" i="152"/>
  <c r="U213" i="152"/>
  <c r="U44" i="152"/>
  <c r="U212" i="152"/>
  <c r="U156" i="152"/>
  <c r="U100" i="152"/>
  <c r="U190" i="152"/>
  <c r="U22" i="152"/>
  <c r="U78" i="152"/>
  <c r="U134" i="152"/>
  <c r="U140" i="152"/>
  <c r="U28" i="152"/>
  <c r="U84" i="152"/>
  <c r="U196" i="152"/>
  <c r="M138" i="147"/>
  <c r="M193" i="152"/>
  <c r="M197" i="152" s="1"/>
  <c r="M25" i="152"/>
  <c r="M29" i="152" s="1"/>
  <c r="M81" i="152"/>
  <c r="M85" i="152" s="1"/>
  <c r="M137" i="152"/>
  <c r="M141" i="152" s="1"/>
  <c r="U211" i="144"/>
  <c r="U155" i="144"/>
  <c r="U99" i="144"/>
  <c r="U43" i="144"/>
  <c r="U192" i="152"/>
  <c r="U136" i="152"/>
  <c r="U80" i="152"/>
  <c r="U24" i="152"/>
  <c r="V70" i="138"/>
  <c r="V70" i="147"/>
  <c r="V72" i="147" s="1"/>
  <c r="U71" i="134"/>
  <c r="V58" i="134"/>
  <c r="U65" i="147"/>
  <c r="V57" i="147"/>
  <c r="U220" i="134"/>
  <c r="V224" i="134"/>
  <c r="V76" i="134"/>
  <c r="V78" i="134" s="1"/>
  <c r="V62" i="147"/>
  <c r="V131" i="147"/>
  <c r="V68" i="134"/>
  <c r="V132" i="147"/>
  <c r="V148" i="134"/>
  <c r="V226" i="134"/>
  <c r="V207" i="134"/>
  <c r="V214" i="138"/>
  <c r="V231" i="138"/>
  <c r="V190" i="147"/>
  <c r="V217" i="138"/>
  <c r="V226" i="138" s="1"/>
  <c r="V144" i="134"/>
  <c r="V136" i="147"/>
  <c r="V64" i="134"/>
  <c r="V208" i="147"/>
  <c r="V60" i="147"/>
  <c r="V204" i="147"/>
  <c r="V206" i="147"/>
  <c r="V147" i="134"/>
  <c r="V130" i="147"/>
  <c r="V58" i="147"/>
  <c r="V63" i="147"/>
  <c r="V66" i="134"/>
  <c r="U202" i="147"/>
  <c r="V142" i="134"/>
  <c r="V207" i="147"/>
  <c r="V63" i="134"/>
  <c r="V222" i="134"/>
  <c r="V203" i="147"/>
  <c r="V221" i="134"/>
  <c r="V61" i="147"/>
  <c r="V67" i="134"/>
  <c r="V143" i="134"/>
  <c r="V135" i="147"/>
  <c r="V65" i="134"/>
  <c r="V59" i="147"/>
  <c r="V53" i="147"/>
  <c r="V225" i="134"/>
  <c r="V69" i="134"/>
  <c r="P129" i="147"/>
  <c r="N133" i="147"/>
  <c r="N143" i="147"/>
  <c r="N145" i="147" s="1"/>
  <c r="N126" i="147"/>
  <c r="O141" i="134"/>
  <c r="O78" i="137"/>
  <c r="O82" i="137" s="1"/>
  <c r="O131" i="138"/>
  <c r="O121" i="147" s="1"/>
  <c r="N143" i="138"/>
  <c r="N148" i="138" s="1"/>
  <c r="N132" i="134"/>
  <c r="N153" i="138"/>
  <c r="N136" i="138"/>
  <c r="M145" i="134"/>
  <c r="M155" i="134"/>
  <c r="M157" i="134" s="1"/>
  <c r="M137" i="134"/>
  <c r="P128" i="134"/>
  <c r="P139" i="138"/>
  <c r="Q127" i="138"/>
  <c r="Q117" i="147" s="1"/>
  <c r="Q74" i="137"/>
  <c r="P42" i="137"/>
  <c r="O46" i="137"/>
  <c r="R38" i="137"/>
  <c r="U234" i="134" l="1"/>
  <c r="U236" i="134" s="1"/>
  <c r="T215" i="152"/>
  <c r="T159" i="152"/>
  <c r="T215" i="144"/>
  <c r="U216" i="147"/>
  <c r="U218" i="147" s="1"/>
  <c r="T47" i="144"/>
  <c r="U199" i="147"/>
  <c r="U158" i="144"/>
  <c r="T47" i="152"/>
  <c r="U102" i="152"/>
  <c r="U102" i="144"/>
  <c r="U46" i="144"/>
  <c r="U214" i="152"/>
  <c r="U46" i="152"/>
  <c r="T159" i="144"/>
  <c r="V197" i="147"/>
  <c r="V209" i="147" s="1"/>
  <c r="V46" i="152" s="1"/>
  <c r="V224" i="138"/>
  <c r="V214" i="134"/>
  <c r="V227" i="134" s="1"/>
  <c r="V102" i="144" s="1"/>
  <c r="U123" i="152"/>
  <c r="U11" i="144"/>
  <c r="U67" i="152"/>
  <c r="U123" i="144"/>
  <c r="U179" i="144"/>
  <c r="U179" i="152"/>
  <c r="U67" i="144"/>
  <c r="U11" i="152"/>
  <c r="V44" i="144"/>
  <c r="V100" i="144"/>
  <c r="V156" i="144"/>
  <c r="V212" i="144"/>
  <c r="V190" i="152"/>
  <c r="V134" i="152"/>
  <c r="V78" i="152"/>
  <c r="V22" i="152"/>
  <c r="V174" i="152"/>
  <c r="V6" i="152"/>
  <c r="V118" i="152"/>
  <c r="V62" i="152"/>
  <c r="V195" i="152"/>
  <c r="V83" i="152"/>
  <c r="V139" i="152"/>
  <c r="V27" i="152"/>
  <c r="V7" i="152"/>
  <c r="V175" i="152"/>
  <c r="V119" i="152"/>
  <c r="V63" i="152"/>
  <c r="V64" i="144"/>
  <c r="V120" i="144"/>
  <c r="V176" i="144"/>
  <c r="V8" i="144"/>
  <c r="U229" i="134"/>
  <c r="U207" i="144"/>
  <c r="U215" i="144" s="1"/>
  <c r="U95" i="144"/>
  <c r="U151" i="144"/>
  <c r="U39" i="144"/>
  <c r="V196" i="152"/>
  <c r="V140" i="152"/>
  <c r="V28" i="152"/>
  <c r="V84" i="152"/>
  <c r="O133" i="144"/>
  <c r="O77" i="144"/>
  <c r="O21" i="144"/>
  <c r="O189" i="144"/>
  <c r="V213" i="144"/>
  <c r="V157" i="144"/>
  <c r="V101" i="144"/>
  <c r="V45" i="144"/>
  <c r="V140" i="144"/>
  <c r="V196" i="144"/>
  <c r="V84" i="144"/>
  <c r="V28" i="144"/>
  <c r="V177" i="144"/>
  <c r="V65" i="144"/>
  <c r="V121" i="144"/>
  <c r="V9" i="144"/>
  <c r="V23" i="152"/>
  <c r="V191" i="152"/>
  <c r="V135" i="152"/>
  <c r="V79" i="152"/>
  <c r="V195" i="144"/>
  <c r="V139" i="144"/>
  <c r="V27" i="144"/>
  <c r="V83" i="144"/>
  <c r="V211" i="152"/>
  <c r="V99" i="152"/>
  <c r="V43" i="152"/>
  <c r="V155" i="152"/>
  <c r="V191" i="144"/>
  <c r="V135" i="144"/>
  <c r="V79" i="144"/>
  <c r="V23" i="144"/>
  <c r="V173" i="144"/>
  <c r="V5" i="144"/>
  <c r="V117" i="144"/>
  <c r="V61" i="144"/>
  <c r="V172" i="152"/>
  <c r="V116" i="152"/>
  <c r="V60" i="152"/>
  <c r="V4" i="152"/>
  <c r="V80" i="144"/>
  <c r="V24" i="144"/>
  <c r="V192" i="144"/>
  <c r="V136" i="144"/>
  <c r="V97" i="144"/>
  <c r="V209" i="144"/>
  <c r="V153" i="144"/>
  <c r="V41" i="144"/>
  <c r="V172" i="144"/>
  <c r="V60" i="144"/>
  <c r="V116" i="144"/>
  <c r="V4" i="144"/>
  <c r="V44" i="152"/>
  <c r="V212" i="152"/>
  <c r="V100" i="152"/>
  <c r="V156" i="152"/>
  <c r="V63" i="144"/>
  <c r="V175" i="144"/>
  <c r="V7" i="144"/>
  <c r="V119" i="144"/>
  <c r="P21" i="152"/>
  <c r="P77" i="152"/>
  <c r="P133" i="152"/>
  <c r="P189" i="152"/>
  <c r="V122" i="152"/>
  <c r="V178" i="152"/>
  <c r="V10" i="152"/>
  <c r="V66" i="152"/>
  <c r="V65" i="152"/>
  <c r="V121" i="152"/>
  <c r="V9" i="152"/>
  <c r="V177" i="152"/>
  <c r="V62" i="144"/>
  <c r="V174" i="144"/>
  <c r="V6" i="144"/>
  <c r="V118" i="144"/>
  <c r="V41" i="152"/>
  <c r="V97" i="152"/>
  <c r="V153" i="152"/>
  <c r="V209" i="152"/>
  <c r="V211" i="144"/>
  <c r="V155" i="144"/>
  <c r="V99" i="144"/>
  <c r="V43" i="144"/>
  <c r="V101" i="152"/>
  <c r="V157" i="152"/>
  <c r="V45" i="152"/>
  <c r="V213" i="152"/>
  <c r="M193" i="144"/>
  <c r="M197" i="144" s="1"/>
  <c r="M25" i="144"/>
  <c r="M29" i="144" s="1"/>
  <c r="M137" i="144"/>
  <c r="M141" i="144" s="1"/>
  <c r="M81" i="144"/>
  <c r="M85" i="144" s="1"/>
  <c r="V8" i="152"/>
  <c r="V64" i="152"/>
  <c r="V176" i="152"/>
  <c r="V120" i="152"/>
  <c r="V208" i="144"/>
  <c r="V96" i="144"/>
  <c r="V152" i="144"/>
  <c r="V40" i="144"/>
  <c r="V152" i="152"/>
  <c r="V208" i="152"/>
  <c r="V96" i="152"/>
  <c r="V40" i="152"/>
  <c r="V134" i="144"/>
  <c r="V78" i="144"/>
  <c r="V190" i="144"/>
  <c r="V22" i="144"/>
  <c r="U211" i="147"/>
  <c r="U39" i="152"/>
  <c r="U95" i="152"/>
  <c r="U207" i="152"/>
  <c r="U151" i="152"/>
  <c r="U159" i="152" s="1"/>
  <c r="N138" i="147"/>
  <c r="N193" i="152"/>
  <c r="N197" i="152" s="1"/>
  <c r="N25" i="152"/>
  <c r="N29" i="152" s="1"/>
  <c r="N81" i="152"/>
  <c r="N85" i="152" s="1"/>
  <c r="N137" i="152"/>
  <c r="N141" i="152" s="1"/>
  <c r="V122" i="144"/>
  <c r="V66" i="144"/>
  <c r="V10" i="144"/>
  <c r="V178" i="144"/>
  <c r="V117" i="152"/>
  <c r="V173" i="152"/>
  <c r="V61" i="152"/>
  <c r="V5" i="152"/>
  <c r="V192" i="152"/>
  <c r="V136" i="152"/>
  <c r="V80" i="152"/>
  <c r="V24" i="152"/>
  <c r="M150" i="134"/>
  <c r="V71" i="134"/>
  <c r="V65" i="147"/>
  <c r="V220" i="134"/>
  <c r="V202" i="147"/>
  <c r="Q129" i="147"/>
  <c r="O133" i="147"/>
  <c r="O143" i="147"/>
  <c r="O145" i="147" s="1"/>
  <c r="O126" i="147"/>
  <c r="P141" i="134"/>
  <c r="N145" i="134"/>
  <c r="N155" i="134"/>
  <c r="N157" i="134" s="1"/>
  <c r="N137" i="134"/>
  <c r="O143" i="138"/>
  <c r="O148" i="138" s="1"/>
  <c r="O132" i="134"/>
  <c r="O153" i="138"/>
  <c r="O136" i="138"/>
  <c r="P78" i="137"/>
  <c r="P82" i="137" s="1"/>
  <c r="P131" i="138"/>
  <c r="P121" i="147" s="1"/>
  <c r="Q128" i="134"/>
  <c r="Q139" i="138"/>
  <c r="R127" i="138"/>
  <c r="R117" i="147" s="1"/>
  <c r="R74" i="137"/>
  <c r="Q42" i="137"/>
  <c r="P46" i="137"/>
  <c r="S38" i="137"/>
  <c r="U103" i="152" l="1"/>
  <c r="U103" i="144"/>
  <c r="U47" i="144"/>
  <c r="U159" i="144"/>
  <c r="V199" i="147"/>
  <c r="U215" i="152"/>
  <c r="V214" i="144"/>
  <c r="V216" i="147"/>
  <c r="V218" i="147" s="1"/>
  <c r="V234" i="134"/>
  <c r="V236" i="134" s="1"/>
  <c r="V216" i="134"/>
  <c r="U47" i="152"/>
  <c r="V46" i="144"/>
  <c r="V158" i="144"/>
  <c r="V102" i="152"/>
  <c r="V158" i="152"/>
  <c r="V214" i="152"/>
  <c r="V67" i="144"/>
  <c r="V123" i="152"/>
  <c r="V11" i="144"/>
  <c r="V11" i="152"/>
  <c r="V179" i="152"/>
  <c r="V179" i="144"/>
  <c r="V123" i="144"/>
  <c r="V67" i="152"/>
  <c r="Q189" i="152"/>
  <c r="Q77" i="152"/>
  <c r="Q21" i="152"/>
  <c r="Q133" i="152"/>
  <c r="O138" i="147"/>
  <c r="O193" i="152"/>
  <c r="O197" i="152" s="1"/>
  <c r="O81" i="152"/>
  <c r="O85" i="152" s="1"/>
  <c r="O137" i="152"/>
  <c r="O141" i="152" s="1"/>
  <c r="O25" i="152"/>
  <c r="O29" i="152" s="1"/>
  <c r="V229" i="134"/>
  <c r="V207" i="144"/>
  <c r="V151" i="144"/>
  <c r="V95" i="144"/>
  <c r="V103" i="144" s="1"/>
  <c r="V39" i="144"/>
  <c r="N193" i="144"/>
  <c r="N197" i="144" s="1"/>
  <c r="N137" i="144"/>
  <c r="N141" i="144" s="1"/>
  <c r="N25" i="144"/>
  <c r="N29" i="144" s="1"/>
  <c r="N81" i="144"/>
  <c r="N85" i="144" s="1"/>
  <c r="V211" i="147"/>
  <c r="V207" i="152"/>
  <c r="V151" i="152"/>
  <c r="V95" i="152"/>
  <c r="V39" i="152"/>
  <c r="V47" i="152" s="1"/>
  <c r="P189" i="144"/>
  <c r="P133" i="144"/>
  <c r="P77" i="144"/>
  <c r="P21" i="144"/>
  <c r="N150" i="134"/>
  <c r="R129" i="147"/>
  <c r="P133" i="147"/>
  <c r="P126" i="147"/>
  <c r="P143" i="147"/>
  <c r="P145" i="147" s="1"/>
  <c r="Q141" i="134"/>
  <c r="P143" i="138"/>
  <c r="P148" i="138" s="1"/>
  <c r="P132" i="134"/>
  <c r="P153" i="138"/>
  <c r="P136" i="138"/>
  <c r="O145" i="134"/>
  <c r="O137" i="134"/>
  <c r="O155" i="134"/>
  <c r="O157" i="134" s="1"/>
  <c r="Q78" i="137"/>
  <c r="Q82" i="137" s="1"/>
  <c r="Q131" i="138"/>
  <c r="Q121" i="147" s="1"/>
  <c r="S74" i="137"/>
  <c r="S127" i="138"/>
  <c r="S117" i="147" s="1"/>
  <c r="R128" i="134"/>
  <c r="R139" i="138"/>
  <c r="R42" i="137"/>
  <c r="Q46" i="137"/>
  <c r="T38" i="137"/>
  <c r="V215" i="144" l="1"/>
  <c r="V47" i="144"/>
  <c r="V159" i="144"/>
  <c r="V215" i="152"/>
  <c r="V159" i="152"/>
  <c r="V103" i="152"/>
  <c r="O193" i="144"/>
  <c r="O197" i="144" s="1"/>
  <c r="O137" i="144"/>
  <c r="O141" i="144" s="1"/>
  <c r="O25" i="144"/>
  <c r="O29" i="144" s="1"/>
  <c r="O81" i="144"/>
  <c r="O85" i="144" s="1"/>
  <c r="R189" i="152"/>
  <c r="R21" i="152"/>
  <c r="R133" i="152"/>
  <c r="R77" i="152"/>
  <c r="Q189" i="144"/>
  <c r="Q21" i="144"/>
  <c r="Q77" i="144"/>
  <c r="Q133" i="144"/>
  <c r="P138" i="147"/>
  <c r="P81" i="152"/>
  <c r="P85" i="152" s="1"/>
  <c r="P193" i="152"/>
  <c r="P197" i="152" s="1"/>
  <c r="P137" i="152"/>
  <c r="P141" i="152" s="1"/>
  <c r="P25" i="152"/>
  <c r="P29" i="152" s="1"/>
  <c r="O150" i="134"/>
  <c r="S129" i="147"/>
  <c r="Q133" i="147"/>
  <c r="Q143" i="147"/>
  <c r="Q145" i="147" s="1"/>
  <c r="Q126" i="147"/>
  <c r="R141" i="134"/>
  <c r="Q143" i="138"/>
  <c r="Q148" i="138" s="1"/>
  <c r="Q216" i="134" s="1"/>
  <c r="Q132" i="134"/>
  <c r="Q153" i="138"/>
  <c r="Q136" i="138"/>
  <c r="P145" i="134"/>
  <c r="P137" i="134"/>
  <c r="P155" i="134"/>
  <c r="P157" i="134" s="1"/>
  <c r="R78" i="137"/>
  <c r="R82" i="137" s="1"/>
  <c r="R131" i="138"/>
  <c r="R121" i="147" s="1"/>
  <c r="S128" i="134"/>
  <c r="S139" i="138"/>
  <c r="T127" i="138"/>
  <c r="T117" i="147" s="1"/>
  <c r="T74" i="137"/>
  <c r="S42" i="137"/>
  <c r="R46" i="137"/>
  <c r="U38" i="137"/>
  <c r="Q138" i="147" l="1"/>
  <c r="Q137" i="152"/>
  <c r="Q141" i="152" s="1"/>
  <c r="Q25" i="152"/>
  <c r="Q29" i="152" s="1"/>
  <c r="Q81" i="152"/>
  <c r="Q85" i="152" s="1"/>
  <c r="Q193" i="152"/>
  <c r="Q197" i="152" s="1"/>
  <c r="P137" i="144"/>
  <c r="P141" i="144" s="1"/>
  <c r="P81" i="144"/>
  <c r="P85" i="144" s="1"/>
  <c r="P25" i="144"/>
  <c r="P29" i="144" s="1"/>
  <c r="P193" i="144"/>
  <c r="P197" i="144" s="1"/>
  <c r="R189" i="144"/>
  <c r="R21" i="144"/>
  <c r="R77" i="144"/>
  <c r="R133" i="144"/>
  <c r="S189" i="152"/>
  <c r="S21" i="152"/>
  <c r="S133" i="152"/>
  <c r="S77" i="152"/>
  <c r="P150" i="134"/>
  <c r="R133" i="147"/>
  <c r="R126" i="147"/>
  <c r="R143" i="147"/>
  <c r="R145" i="147" s="1"/>
  <c r="T129" i="147"/>
  <c r="S141" i="134"/>
  <c r="R143" i="138"/>
  <c r="R148" i="138" s="1"/>
  <c r="R132" i="134"/>
  <c r="R136" i="138"/>
  <c r="R153" i="138"/>
  <c r="Q145" i="134"/>
  <c r="Q155" i="134"/>
  <c r="Q157" i="134" s="1"/>
  <c r="Q137" i="134"/>
  <c r="S78" i="137"/>
  <c r="S82" i="137" s="1"/>
  <c r="S131" i="138"/>
  <c r="S121" i="147" s="1"/>
  <c r="U74" i="137"/>
  <c r="U127" i="138"/>
  <c r="U117" i="147" s="1"/>
  <c r="T128" i="134"/>
  <c r="T139" i="138"/>
  <c r="T42" i="137"/>
  <c r="S46" i="137"/>
  <c r="V38" i="137"/>
  <c r="S189" i="144" l="1"/>
  <c r="S21" i="144"/>
  <c r="S77" i="144"/>
  <c r="S133" i="144"/>
  <c r="R138" i="147"/>
  <c r="R137" i="152"/>
  <c r="R141" i="152" s="1"/>
  <c r="R25" i="152"/>
  <c r="R29" i="152" s="1"/>
  <c r="R193" i="152"/>
  <c r="R197" i="152" s="1"/>
  <c r="R81" i="152"/>
  <c r="R85" i="152" s="1"/>
  <c r="Q193" i="144"/>
  <c r="Q197" i="144" s="1"/>
  <c r="Q137" i="144"/>
  <c r="Q141" i="144" s="1"/>
  <c r="Q81" i="144"/>
  <c r="Q85" i="144" s="1"/>
  <c r="Q25" i="144"/>
  <c r="Q29" i="144" s="1"/>
  <c r="T21" i="152"/>
  <c r="T189" i="152"/>
  <c r="T133" i="152"/>
  <c r="T77" i="152"/>
  <c r="Q150" i="134"/>
  <c r="U129" i="147"/>
  <c r="S133" i="147"/>
  <c r="S126" i="147"/>
  <c r="S143" i="147"/>
  <c r="S145" i="147" s="1"/>
  <c r="T141" i="134"/>
  <c r="S143" i="138"/>
  <c r="S148" i="138" s="1"/>
  <c r="S132" i="134"/>
  <c r="S153" i="138"/>
  <c r="S136" i="138"/>
  <c r="R145" i="134"/>
  <c r="R155" i="134"/>
  <c r="R157" i="134" s="1"/>
  <c r="R137" i="134"/>
  <c r="T78" i="137"/>
  <c r="T82" i="137" s="1"/>
  <c r="T131" i="138"/>
  <c r="T121" i="147" s="1"/>
  <c r="V127" i="138"/>
  <c r="V117" i="147" s="1"/>
  <c r="V74" i="137"/>
  <c r="U128" i="134"/>
  <c r="U139" i="138"/>
  <c r="U42" i="137"/>
  <c r="T46" i="137"/>
  <c r="T189" i="144" l="1"/>
  <c r="T21" i="144"/>
  <c r="T77" i="144"/>
  <c r="T133" i="144"/>
  <c r="U189" i="152"/>
  <c r="U133" i="152"/>
  <c r="U77" i="152"/>
  <c r="U21" i="152"/>
  <c r="R193" i="144"/>
  <c r="R197" i="144" s="1"/>
  <c r="R137" i="144"/>
  <c r="R141" i="144" s="1"/>
  <c r="R81" i="144"/>
  <c r="R85" i="144" s="1"/>
  <c r="R25" i="144"/>
  <c r="R29" i="144" s="1"/>
  <c r="S138" i="147"/>
  <c r="S137" i="152"/>
  <c r="S141" i="152" s="1"/>
  <c r="S25" i="152"/>
  <c r="S29" i="152" s="1"/>
  <c r="S81" i="152"/>
  <c r="S85" i="152" s="1"/>
  <c r="S193" i="152"/>
  <c r="S197" i="152" s="1"/>
  <c r="R150" i="134"/>
  <c r="V129" i="147"/>
  <c r="T133" i="147"/>
  <c r="T143" i="147"/>
  <c r="T145" i="147" s="1"/>
  <c r="T126" i="147"/>
  <c r="U141" i="134"/>
  <c r="S145" i="134"/>
  <c r="S155" i="134"/>
  <c r="S157" i="134" s="1"/>
  <c r="S137" i="134"/>
  <c r="T132" i="134"/>
  <c r="T143" i="138"/>
  <c r="T148" i="138" s="1"/>
  <c r="T153" i="138"/>
  <c r="T136" i="138"/>
  <c r="U78" i="137"/>
  <c r="U82" i="137" s="1"/>
  <c r="U131" i="138"/>
  <c r="U121" i="147" s="1"/>
  <c r="V128" i="134"/>
  <c r="V139" i="138"/>
  <c r="V42" i="137"/>
  <c r="U46" i="137"/>
  <c r="U189" i="144" l="1"/>
  <c r="U21" i="144"/>
  <c r="U77" i="144"/>
  <c r="U133" i="144"/>
  <c r="T138" i="147"/>
  <c r="T25" i="152"/>
  <c r="T29" i="152" s="1"/>
  <c r="T137" i="152"/>
  <c r="T141" i="152" s="1"/>
  <c r="T193" i="152"/>
  <c r="T197" i="152" s="1"/>
  <c r="T81" i="152"/>
  <c r="T85" i="152" s="1"/>
  <c r="S193" i="144"/>
  <c r="S197" i="144" s="1"/>
  <c r="S137" i="144"/>
  <c r="S141" i="144" s="1"/>
  <c r="S81" i="144"/>
  <c r="S85" i="144" s="1"/>
  <c r="S25" i="144"/>
  <c r="S29" i="144" s="1"/>
  <c r="V133" i="152"/>
  <c r="V21" i="152"/>
  <c r="V189" i="152"/>
  <c r="V77" i="152"/>
  <c r="S150" i="134"/>
  <c r="U133" i="147"/>
  <c r="U143" i="147"/>
  <c r="U145" i="147" s="1"/>
  <c r="U126" i="147"/>
  <c r="V141" i="134"/>
  <c r="V46" i="137"/>
  <c r="V78" i="137"/>
  <c r="V82" i="137" s="1"/>
  <c r="V131" i="138"/>
  <c r="V121" i="147" s="1"/>
  <c r="T145" i="134"/>
  <c r="T137" i="134"/>
  <c r="T155" i="134"/>
  <c r="T157" i="134" s="1"/>
  <c r="U143" i="138"/>
  <c r="U148" i="138" s="1"/>
  <c r="U216" i="134" s="1"/>
  <c r="U132" i="134"/>
  <c r="U153" i="138"/>
  <c r="U136" i="138"/>
  <c r="T193" i="144" l="1"/>
  <c r="T197" i="144" s="1"/>
  <c r="T137" i="144"/>
  <c r="T141" i="144" s="1"/>
  <c r="T81" i="144"/>
  <c r="T85" i="144" s="1"/>
  <c r="T25" i="144"/>
  <c r="T29" i="144" s="1"/>
  <c r="V189" i="144"/>
  <c r="V21" i="144"/>
  <c r="V133" i="144"/>
  <c r="V77" i="144"/>
  <c r="U138" i="147"/>
  <c r="U81" i="152"/>
  <c r="U85" i="152" s="1"/>
  <c r="U25" i="152"/>
  <c r="U29" i="152" s="1"/>
  <c r="U137" i="152"/>
  <c r="U141" i="152" s="1"/>
  <c r="U193" i="152"/>
  <c r="U197" i="152" s="1"/>
  <c r="T150" i="134"/>
  <c r="V133" i="147"/>
  <c r="V143" i="147"/>
  <c r="V145" i="147" s="1"/>
  <c r="V126" i="147"/>
  <c r="U145" i="134"/>
  <c r="U155" i="134"/>
  <c r="U157" i="134" s="1"/>
  <c r="U137" i="134"/>
  <c r="V143" i="138"/>
  <c r="V148" i="138" s="1"/>
  <c r="V132" i="134"/>
  <c r="V153" i="138"/>
  <c r="V136" i="138"/>
  <c r="V138" i="147" l="1"/>
  <c r="V81" i="152"/>
  <c r="V85" i="152" s="1"/>
  <c r="V25" i="152"/>
  <c r="V29" i="152" s="1"/>
  <c r="V193" i="152"/>
  <c r="V197" i="152" s="1"/>
  <c r="V137" i="152"/>
  <c r="V141" i="152" s="1"/>
  <c r="U193" i="144"/>
  <c r="U197" i="144" s="1"/>
  <c r="U137" i="144"/>
  <c r="U141" i="144" s="1"/>
  <c r="U25" i="144"/>
  <c r="U29" i="144" s="1"/>
  <c r="U81" i="144"/>
  <c r="U85" i="144" s="1"/>
  <c r="U150" i="134"/>
  <c r="V145" i="134"/>
  <c r="V155" i="134"/>
  <c r="V157" i="134" s="1"/>
  <c r="V137" i="134"/>
  <c r="V193" i="144" l="1"/>
  <c r="V197" i="144" s="1"/>
  <c r="V25" i="144"/>
  <c r="V29" i="144" s="1"/>
  <c r="V137" i="144"/>
  <c r="V141" i="144" s="1"/>
  <c r="V81" i="144"/>
  <c r="V85" i="144" s="1"/>
  <c r="V150" i="134"/>
  <c r="P4" i="129" l="1"/>
  <c r="T27" i="129" s="1"/>
  <c r="H52" i="129"/>
  <c r="L4" i="129"/>
  <c r="AA27" i="129" l="1"/>
  <c r="AB27" i="129"/>
  <c r="AD27" i="129"/>
  <c r="AK27" i="129"/>
  <c r="U27" i="129"/>
  <c r="Y27" i="129"/>
  <c r="W27" i="129"/>
  <c r="AI27" i="129"/>
  <c r="AM27" i="129"/>
  <c r="AF27" i="129"/>
  <c r="Z27" i="129"/>
  <c r="AE27" i="129"/>
  <c r="AJ27" i="129"/>
  <c r="V27" i="129"/>
  <c r="AC27" i="129"/>
  <c r="X27" i="129"/>
  <c r="AL27" i="129"/>
  <c r="AG27" i="129"/>
  <c r="AH27" i="129"/>
  <c r="H28" i="129"/>
  <c r="AO27" i="129" l="1"/>
</calcChain>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2">
    <bk>
      <extLst>
        <ext uri="{3e2802c4-a4d2-4d8b-9148-e3be6c30e623}">
          <xlrd:rvb i="0"/>
        </ext>
      </extLst>
    </bk>
    <bk>
      <extLst>
        <ext uri="{3e2802c4-a4d2-4d8b-9148-e3be6c30e623}">
          <xlrd:rvb i="1"/>
        </ext>
      </extLst>
    </bk>
  </futureMetadata>
  <valueMetadata count="2">
    <bk>
      <rc t="1" v="0"/>
    </bk>
    <bk>
      <rc t="1" v="1"/>
    </bk>
  </valueMetadata>
</metadata>
</file>

<file path=xl/sharedStrings.xml><?xml version="1.0" encoding="utf-8"?>
<sst xmlns="http://schemas.openxmlformats.org/spreadsheetml/2006/main" count="3885" uniqueCount="545">
  <si>
    <t>Capabilities/Uses:</t>
  </si>
  <si>
    <t>Main Datasets:</t>
  </si>
  <si>
    <t>Reference:</t>
  </si>
  <si>
    <t>Read Me</t>
  </si>
  <si>
    <t>Approach</t>
  </si>
  <si>
    <t>Parameter</t>
  </si>
  <si>
    <t>High</t>
  </si>
  <si>
    <t>Low</t>
  </si>
  <si>
    <t>Unit</t>
  </si>
  <si>
    <t>Value</t>
  </si>
  <si>
    <t>-</t>
  </si>
  <si>
    <t>Contact: Edward Oughton (eoughton@teltrium.com); Erica Weir (eweir@teltrium.com).</t>
  </si>
  <si>
    <t>Developed by Teltrium Inc. for NASA SCaN</t>
  </si>
  <si>
    <t>Caveats to using ASCEND:</t>
  </si>
  <si>
    <t>Assessing Commercialization Strategies for Evolving Network Demand (ASCEND)</t>
  </si>
  <si>
    <t xml:space="preserve">    - ASCEND utilizes parameter assumptions when reliable scientific data are not available, if there are questions regarding the approach, reach out to the model creators (eoughton@teltrium.com; eweir@teltrium.com).</t>
  </si>
  <si>
    <t>User</t>
  </si>
  <si>
    <t>AIM</t>
  </si>
  <si>
    <t>BRTS</t>
  </si>
  <si>
    <t>FGST</t>
  </si>
  <si>
    <t>GPM</t>
  </si>
  <si>
    <t>HST</t>
  </si>
  <si>
    <t>ICON</t>
  </si>
  <si>
    <t>ISS</t>
  </si>
  <si>
    <t>HTV</t>
  </si>
  <si>
    <t>JPSS-1</t>
  </si>
  <si>
    <t>LDB</t>
  </si>
  <si>
    <t>MTRS-2</t>
  </si>
  <si>
    <t>NPP</t>
  </si>
  <si>
    <t>OCO-2</t>
  </si>
  <si>
    <t>ORION</t>
  </si>
  <si>
    <t>RBSP-A</t>
  </si>
  <si>
    <t>RBSP-B</t>
  </si>
  <si>
    <t>SORCE</t>
  </si>
  <si>
    <t>SPTR-2</t>
  </si>
  <si>
    <t>THEMIS-A</t>
  </si>
  <si>
    <t>THEMIS-D</t>
  </si>
  <si>
    <t>THEMIS-E</t>
  </si>
  <si>
    <t>TIMED</t>
  </si>
  <si>
    <t>NEOWISE</t>
  </si>
  <si>
    <t>Near Earth Robotic - GEO and Near Earth</t>
  </si>
  <si>
    <t>Near Earth Robotic - LEO Science</t>
  </si>
  <si>
    <t>Launch Events</t>
  </si>
  <si>
    <t>Human Space Flight</t>
  </si>
  <si>
    <t>Near Earth Robotic - Low Latency &amp; Complex Needs</t>
  </si>
  <si>
    <t>Terrestrial &amp; Aerial</t>
  </si>
  <si>
    <t>Near Earth Robotic - Low Latency and Complex Needs</t>
  </si>
  <si>
    <t>ACE</t>
  </si>
  <si>
    <t>???</t>
  </si>
  <si>
    <t>AQUA</t>
  </si>
  <si>
    <t>ARTEMIS I</t>
  </si>
  <si>
    <t>ATLAS V</t>
  </si>
  <si>
    <t>AURA</t>
  </si>
  <si>
    <t>CLICK-A</t>
  </si>
  <si>
    <t>CYGNUS</t>
  </si>
  <si>
    <t>DELTA IV</t>
  </si>
  <si>
    <t>DRAGON</t>
  </si>
  <si>
    <t>ICESAT-2</t>
  </si>
  <si>
    <t>LANDSAT-7</t>
  </si>
  <si>
    <t>LANDSAT-8</t>
  </si>
  <si>
    <t>LANDSAT-9</t>
  </si>
  <si>
    <t>MINOTAUR</t>
  </si>
  <si>
    <t>NUSTAR</t>
  </si>
  <si>
    <t>STARLINER</t>
  </si>
  <si>
    <t>SWIFT</t>
  </si>
  <si>
    <t>TERRA</t>
  </si>
  <si>
    <t>DSCOVR</t>
  </si>
  <si>
    <t>GOES-14</t>
  </si>
  <si>
    <t>GOES-16</t>
  </si>
  <si>
    <t>GOES-17</t>
  </si>
  <si>
    <t>GOES-18</t>
  </si>
  <si>
    <t>MMS (ALL)</t>
  </si>
  <si>
    <t>January 2020 - Dec 2022</t>
  </si>
  <si>
    <t>Near-Future (Jan 2023-Dec 2027)</t>
  </si>
  <si>
    <t>Mission Count</t>
  </si>
  <si>
    <t>Direct to Earth (DTE)</t>
  </si>
  <si>
    <t>Baseline</t>
  </si>
  <si>
    <t>Space Relay (SR)</t>
  </si>
  <si>
    <t>Passes Per Day (Per Mission)</t>
  </si>
  <si>
    <t>Service Time Per Year (Minutes)</t>
  </si>
  <si>
    <t>Deep Space Robotic</t>
  </si>
  <si>
    <t>Mission Operations</t>
  </si>
  <si>
    <t>Use Case</t>
  </si>
  <si>
    <t>Count</t>
  </si>
  <si>
    <t>Total</t>
  </si>
  <si>
    <t>End of life missions</t>
  </si>
  <si>
    <t>Replacement new missions</t>
  </si>
  <si>
    <t>Total missions</t>
  </si>
  <si>
    <t>New</t>
  </si>
  <si>
    <t>Annual demand increase</t>
  </si>
  <si>
    <t>%</t>
  </si>
  <si>
    <t>Existing Missions</t>
  </si>
  <si>
    <t>Share</t>
  </si>
  <si>
    <t>Future DTE</t>
  </si>
  <si>
    <t>Additional new missions</t>
  </si>
  <si>
    <t>Existing</t>
  </si>
  <si>
    <t>Replacement</t>
  </si>
  <si>
    <t>NASA share of DTE minutes</t>
  </si>
  <si>
    <t>Source</t>
  </si>
  <si>
    <t>Assumption</t>
  </si>
  <si>
    <t>"User_Data_Vol_20210409.xslx"</t>
  </si>
  <si>
    <t>USD/Min</t>
  </si>
  <si>
    <t>Month 1</t>
  </si>
  <si>
    <t>Month 2</t>
  </si>
  <si>
    <t>Month 3</t>
  </si>
  <si>
    <t>Month 4</t>
  </si>
  <si>
    <t>Month 5</t>
  </si>
  <si>
    <t>Month 6</t>
  </si>
  <si>
    <t>Month 7</t>
  </si>
  <si>
    <t>Month 8</t>
  </si>
  <si>
    <t>Month 9</t>
  </si>
  <si>
    <t>Month 10</t>
  </si>
  <si>
    <t>Month 11</t>
  </si>
  <si>
    <t>Month 12</t>
  </si>
  <si>
    <t>0 </t>
  </si>
  <si>
    <t>MMS-1</t>
  </si>
  <si>
    <t>MMS-2</t>
  </si>
  <si>
    <t>MMS-3</t>
  </si>
  <si>
    <t>MMS-4</t>
  </si>
  <si>
    <t>TOTAL</t>
  </si>
  <si>
    <t xml:space="preserve">Aggregate use cases, so that we have a single graph with the low, baseline and high on a single plot. </t>
  </si>
  <si>
    <t>Excludes any missions with empty minute usage data.</t>
  </si>
  <si>
    <t>Total missions in the low demand scenario</t>
  </si>
  <si>
    <t>Total missions in the baseline demand scenario</t>
  </si>
  <si>
    <t>Total missions in the high demand scenario</t>
  </si>
  <si>
    <t>Additional new missions in the low demand scenario</t>
  </si>
  <si>
    <t>Additional new missions in the baseline demand scenario</t>
  </si>
  <si>
    <t>Additional new missions in the high demand scenario</t>
  </si>
  <si>
    <t>Use case</t>
  </si>
  <si>
    <t>DTE Average (Minutes)</t>
  </si>
  <si>
    <t>SR Average (Minutes)</t>
  </si>
  <si>
    <t>This sheet is an estimate of lifespans for all existing missions.</t>
  </si>
  <si>
    <t>This sheet reflects lifespan estimates for all existing missions, but by use case.</t>
  </si>
  <si>
    <t xml:space="preserve">This sheet helps to estimate the number of additional missions, when accouting for the end of life of various missions, so that total future missions matches NASA's low, baseline and high mission forecasts. </t>
  </si>
  <si>
    <t xml:space="preserve">This sheet details all lifespans, broken down by use case and existing/replacement missions, given NASA's low, baseline and high mission forecast. </t>
  </si>
  <si>
    <t>This sheet details the current and future DTE usage by mission.</t>
  </si>
  <si>
    <t xml:space="preserve">This sheed aims to generate the average minutes by use case for DTE and SR services. </t>
  </si>
  <si>
    <t xml:space="preserve">The DTE mean is based on annual data, whereas the SR mean is based on one year of monthly data. </t>
  </si>
  <si>
    <t>This is an estimate of the mean DTE minutes per mission or use case.</t>
  </si>
  <si>
    <t>Estimate of the number of minutes by mission/use case, accounting for lifespans/new missions, and an annual demand increase factor (reflected only in new missions, e.g., from increasing technological demands resulting from higher resolution data).</t>
  </si>
  <si>
    <t xml:space="preserve">This sheet represents SR usage in minutes. </t>
  </si>
  <si>
    <t>These estimates come from the excel file entitled: "CutOffsWorking.xlsx".</t>
  </si>
  <si>
    <t>Data taken from "User_Data_Vol_20210409.xlsx".</t>
  </si>
  <si>
    <t>This sheet represents the number of minutes of SR usage, based on the mean.</t>
  </si>
  <si>
    <t>ICT equipment</t>
  </si>
  <si>
    <t>Civil engineering structure</t>
  </si>
  <si>
    <t>Fixed fiber connection</t>
  </si>
  <si>
    <t>Staff labor</t>
  </si>
  <si>
    <t>Discount rate</t>
  </si>
  <si>
    <t>Quantity</t>
  </si>
  <si>
    <t>Capex</t>
  </si>
  <si>
    <t>Opex</t>
  </si>
  <si>
    <t>Percent</t>
  </si>
  <si>
    <t>Cost (USD)</t>
  </si>
  <si>
    <t>Variable Type</t>
  </si>
  <si>
    <t>Asset Type</t>
  </si>
  <si>
    <t>DTE cost per minute</t>
  </si>
  <si>
    <t>DTE minutes utilization rate</t>
  </si>
  <si>
    <t>Site purchase</t>
  </si>
  <si>
    <t>THIS IS SR DATA NOT DTE (where can I find the DTE minutes broken down by mission/use case please?)</t>
  </si>
  <si>
    <t>Average (Hours)</t>
  </si>
  <si>
    <t>Total (Minutes)</t>
  </si>
  <si>
    <t>Low Demand</t>
  </si>
  <si>
    <t>Baseline Demand</t>
  </si>
  <si>
    <t>High Demand</t>
  </si>
  <si>
    <t>Model parameters</t>
  </si>
  <si>
    <t>Parameters</t>
  </si>
  <si>
    <t>AM1</t>
  </si>
  <si>
    <t>AQA</t>
  </si>
  <si>
    <t>AUR</t>
  </si>
  <si>
    <t>C18</t>
  </si>
  <si>
    <t>C19</t>
  </si>
  <si>
    <t>CAL</t>
  </si>
  <si>
    <t>CLA</t>
  </si>
  <si>
    <t>COB</t>
  </si>
  <si>
    <t>COBE</t>
  </si>
  <si>
    <t>DSCO</t>
  </si>
  <si>
    <t>G13</t>
  </si>
  <si>
    <t>G14</t>
  </si>
  <si>
    <t>G15</t>
  </si>
  <si>
    <t>G16</t>
  </si>
  <si>
    <t>G17</t>
  </si>
  <si>
    <t>G18</t>
  </si>
  <si>
    <t>GF1</t>
  </si>
  <si>
    <t>GF2</t>
  </si>
  <si>
    <t>GOES-13</t>
  </si>
  <si>
    <t>IC2</t>
  </si>
  <si>
    <t>ICN</t>
  </si>
  <si>
    <t>IRI</t>
  </si>
  <si>
    <t>IXP</t>
  </si>
  <si>
    <t>L7</t>
  </si>
  <si>
    <t>LRO</t>
  </si>
  <si>
    <t>LS7</t>
  </si>
  <si>
    <t>LS8</t>
  </si>
  <si>
    <t>LS9</t>
  </si>
  <si>
    <t>MEB</t>
  </si>
  <si>
    <t>MS1</t>
  </si>
  <si>
    <t>MS2</t>
  </si>
  <si>
    <t>MS3</t>
  </si>
  <si>
    <t>MS4</t>
  </si>
  <si>
    <t>NUS</t>
  </si>
  <si>
    <t>OC2</t>
  </si>
  <si>
    <t>PT1</t>
  </si>
  <si>
    <t>S69</t>
  </si>
  <si>
    <t>S70</t>
  </si>
  <si>
    <t>SCI</t>
  </si>
  <si>
    <t>SE1</t>
  </si>
  <si>
    <t>SMP</t>
  </si>
  <si>
    <t>SNB</t>
  </si>
  <si>
    <t>SND</t>
  </si>
  <si>
    <t>SOLB</t>
  </si>
  <si>
    <t>ST6</t>
  </si>
  <si>
    <t>STATION</t>
  </si>
  <si>
    <t>T10</t>
  </si>
  <si>
    <t>T13</t>
  </si>
  <si>
    <t>TD3</t>
  </si>
  <si>
    <t>TD5</t>
  </si>
  <si>
    <t>TD7</t>
  </si>
  <si>
    <t>TD8</t>
  </si>
  <si>
    <t>TD9</t>
  </si>
  <si>
    <t>THA</t>
  </si>
  <si>
    <t>THB</t>
  </si>
  <si>
    <t>THC</t>
  </si>
  <si>
    <t>THD</t>
  </si>
  <si>
    <t>THE</t>
  </si>
  <si>
    <t>XRI</t>
  </si>
  <si>
    <t>DTE Minutes 2023</t>
  </si>
  <si>
    <t>Name</t>
  </si>
  <si>
    <t>Code</t>
  </si>
  <si>
    <t>GOES</t>
  </si>
  <si>
    <r>
      <t>Advanced Composition Explorer (</t>
    </r>
    <r>
      <rPr>
        <b/>
        <sz val="8"/>
        <color rgb="FFBCC0C3"/>
        <rFont val="Roboto"/>
      </rPr>
      <t>ACE</t>
    </r>
    <r>
      <rPr>
        <sz val="8"/>
        <color rgb="FFBDC1C6"/>
        <rFont val="Roboto"/>
      </rPr>
      <t>)</t>
    </r>
  </si>
  <si>
    <t>Full</t>
  </si>
  <si>
    <t>Aeronomy of Ice in the Mesosphere</t>
  </si>
  <si>
    <t>Cosmic Background Explorer</t>
  </si>
  <si>
    <t>?</t>
  </si>
  <si>
    <t>Imaging X-ray Polarimetry Explorer</t>
  </si>
  <si>
    <t>Lunar Reconnaissance Orbiter</t>
  </si>
  <si>
    <t>Magnetospheric Multiscale (MMS) Mission</t>
  </si>
  <si>
    <t>Orbiting Carbon Observatory</t>
  </si>
  <si>
    <t>Parker Solar Probe</t>
  </si>
  <si>
    <t>Space Technology 6</t>
  </si>
  <si>
    <t>X-Ray Imaging and Spectroscopy Mission (XRISM)</t>
  </si>
  <si>
    <t>ATLAS-V</t>
  </si>
  <si>
    <t>BLSM POINT</t>
  </si>
  <si>
    <t>BURSTCUBE</t>
  </si>
  <si>
    <t>CYGNUS NG-16</t>
  </si>
  <si>
    <t>CYGNUS NG-18</t>
  </si>
  <si>
    <t>CYGNUS NG-19</t>
  </si>
  <si>
    <t>ESBT</t>
  </si>
  <si>
    <t>FERMI</t>
  </si>
  <si>
    <t>GRC ACNT DEMO</t>
  </si>
  <si>
    <t>GRGT TO&amp;A</t>
  </si>
  <si>
    <t>GRS TOA</t>
  </si>
  <si>
    <t>H-IIA/EMM</t>
  </si>
  <si>
    <t>H-IIA/XRISM</t>
  </si>
  <si>
    <t>HSF LANDING SV</t>
  </si>
  <si>
    <t>ICESAT2</t>
  </si>
  <si>
    <t>ICPS</t>
  </si>
  <si>
    <t>JPSS-2</t>
  </si>
  <si>
    <t>LDB EUSO</t>
  </si>
  <si>
    <t>LDB GUSTO</t>
  </si>
  <si>
    <t>LDB HIWIND</t>
  </si>
  <si>
    <t>LDB SPB</t>
  </si>
  <si>
    <t>LDB SPB 1</t>
  </si>
  <si>
    <t>LDB SPB 2</t>
  </si>
  <si>
    <t>LDB SUPERBIT</t>
  </si>
  <si>
    <t>LDBP2</t>
  </si>
  <si>
    <t>LDBP3</t>
  </si>
  <si>
    <t>LDBP4</t>
  </si>
  <si>
    <t>LDBP5</t>
  </si>
  <si>
    <t>LSAT-7</t>
  </si>
  <si>
    <t>LSAT-8</t>
  </si>
  <si>
    <t>LSAT-9</t>
  </si>
  <si>
    <t>NO CUSTOMER ID</t>
  </si>
  <si>
    <t>PACE</t>
  </si>
  <si>
    <t>SPACEX CREW-4</t>
  </si>
  <si>
    <t>SPACEX CREW-5</t>
  </si>
  <si>
    <t>SPACEX CREW-6</t>
  </si>
  <si>
    <t>SPACEX CREW-7</t>
  </si>
  <si>
    <t>SPB</t>
  </si>
  <si>
    <t>SPX STARSHIP</t>
  </si>
  <si>
    <t>SPX-26</t>
  </si>
  <si>
    <t>SPX-27</t>
  </si>
  <si>
    <t>SPX-28</t>
  </si>
  <si>
    <t>SPX-29</t>
  </si>
  <si>
    <t>STGT SGSS</t>
  </si>
  <si>
    <t>STGT TEST</t>
  </si>
  <si>
    <t>STGT TO&amp;A</t>
  </si>
  <si>
    <t>SUNRISE III</t>
  </si>
  <si>
    <t>TECHOPS</t>
  </si>
  <si>
    <t>TECHOPS TEST</t>
  </si>
  <si>
    <t>TO&amp;A</t>
  </si>
  <si>
    <t>VULCAN</t>
  </si>
  <si>
    <t>WSGT</t>
  </si>
  <si>
    <t>XTD</t>
  </si>
  <si>
    <t>Fermi Gamma-ray Space Telescope</t>
  </si>
  <si>
    <t xml:space="preserve">Global Precipitation Measurement Mission </t>
  </si>
  <si>
    <t>Emirates Mars Mission</t>
  </si>
  <si>
    <t>Hubble Space Telescope</t>
  </si>
  <si>
    <t>Ionospheric Connection Explorer</t>
  </si>
  <si>
    <t>Interim Cryogenic Propulsion Stage</t>
  </si>
  <si>
    <t xml:space="preserve">Joint Polar Satellite System </t>
  </si>
  <si>
    <t>Near-Earth Object Wide-field Infrared Survey Explorer</t>
  </si>
  <si>
    <t>Nuclear Spectroscopic Telescope Array</t>
  </si>
  <si>
    <t>Plankton, Aerosol, Cloud, ocean Ecosystem</t>
  </si>
  <si>
    <t>Super Pressure Balloon</t>
  </si>
  <si>
    <t>South Pole Tracking and Data Relay Satellite (TDRS) Relay 2</t>
  </si>
  <si>
    <t xml:space="preserve">Technical Operations and Analysis </t>
  </si>
  <si>
    <t>White Sands Ground Terminal</t>
  </si>
  <si>
    <t>Bilateration Ranging Transponder System</t>
  </si>
  <si>
    <t>Blossom Point Research Facility</t>
  </si>
  <si>
    <t>SR Minutes 2023</t>
  </si>
  <si>
    <t>Total (excluding Launch Events)</t>
  </si>
  <si>
    <t>Future SR</t>
  </si>
  <si>
    <t>Launch Events DTE</t>
  </si>
  <si>
    <t>Launch Events SR</t>
  </si>
  <si>
    <t>Assured Data Delivery (ADD) Service Mission Projections</t>
  </si>
  <si>
    <t>File Data Delivery and Networking (FDDN) Service Mission Projections</t>
  </si>
  <si>
    <t>Launch Events (LE)</t>
  </si>
  <si>
    <t xml:space="preserve">Total </t>
  </si>
  <si>
    <t>Future LE</t>
  </si>
  <si>
    <t>Service Time Per Year (Per Mission)</t>
  </si>
  <si>
    <t>Mean Minutes Per Pass (Per Mission)</t>
  </si>
  <si>
    <t>Service Time (Minutes)</t>
  </si>
  <si>
    <t xml:space="preserve"> Annual Service Cost (USD)</t>
  </si>
  <si>
    <t>Annual Service Cost (USD)</t>
  </si>
  <si>
    <t xml:space="preserve"> 2023-2027 Service Cost (USD)</t>
  </si>
  <si>
    <t>Nasa aggregate Assured Data Delivery (ADD) mission forecast</t>
  </si>
  <si>
    <t>Estimated new Assured Data Delivery (ADD) users by use case - Direct To Earth (DTE)</t>
  </si>
  <si>
    <t>Estimated new Assured Data Delivery (ADD) users by use case - Space Relay (SR)</t>
  </si>
  <si>
    <t>Estimated new Assured Data Delivery (ADD) users by use case - Launch Events (LE)</t>
  </si>
  <si>
    <t>Nasa aggregate File Data Delivery and Networking (FDDN) mission forecast</t>
  </si>
  <si>
    <t>Estimated new File Data Delivery and Networking (FDDN) users by use case - DTE</t>
  </si>
  <si>
    <t>Estimated new File Data Delivery and Networking (FDDN) users by use case - SR</t>
  </si>
  <si>
    <t>Asset Categories</t>
  </si>
  <si>
    <t>Assured Data Delivery (ADD)</t>
  </si>
  <si>
    <t>File Data Delivery and Networking (FDDN)</t>
  </si>
  <si>
    <t xml:space="preserve"> 2023-2027 Total Service Cost (USD)</t>
  </si>
  <si>
    <t>Service</t>
  </si>
  <si>
    <t>Method</t>
  </si>
  <si>
    <t>ADD Direct to Earth (DTE)</t>
  </si>
  <si>
    <t>ADD Space Relay (SR)</t>
  </si>
  <si>
    <t>ADD Launch Events (LE)</t>
  </si>
  <si>
    <t>FDDN Direct to Earth (DTE)</t>
  </si>
  <si>
    <t>FDDN Space Relay (SR)</t>
  </si>
  <si>
    <t>Type</t>
  </si>
  <si>
    <t>DTE</t>
  </si>
  <si>
    <t>SR</t>
  </si>
  <si>
    <t>Cost/Minute (USD/min)</t>
  </si>
  <si>
    <t>CALIPSO</t>
  </si>
  <si>
    <t>Cloud-Aerosol Lidar and Infrared Pathfinder Satellite Observations</t>
  </si>
  <si>
    <t>Deep Space Climate Observatory</t>
  </si>
  <si>
    <t>Interface Region Imaging Spectrograph</t>
  </si>
  <si>
    <t>Landsat</t>
  </si>
  <si>
    <t>Landsat - Duplicate</t>
  </si>
  <si>
    <t>MetOp-B</t>
  </si>
  <si>
    <t>Assume Soyuz</t>
  </si>
  <si>
    <t>SciSat-1 (CHECKING)</t>
  </si>
  <si>
    <t>(asking)</t>
  </si>
  <si>
    <t>SMAP (CHECKING)</t>
  </si>
  <si>
    <t>Solar-B/Hinode</t>
  </si>
  <si>
    <t>Assume dup of ISS</t>
  </si>
  <si>
    <t>TDRS</t>
  </si>
  <si>
    <t>THEMIS</t>
  </si>
  <si>
    <t>??</t>
  </si>
  <si>
    <t>(Asking)</t>
  </si>
  <si>
    <t>Fermi Gamma-ray Space Telescope (DUP)</t>
  </si>
  <si>
    <t>REMOVE</t>
  </si>
  <si>
    <t>These is testing related to TDRS - I think we should remove</t>
  </si>
  <si>
    <t>Balloon program mission</t>
  </si>
  <si>
    <t>Suomi NPP</t>
  </si>
  <si>
    <t>this is all test stuff for TDRS - to ground assets - should probably remove</t>
  </si>
  <si>
    <t>Minutes</t>
  </si>
  <si>
    <t>Exclude from mission count</t>
  </si>
  <si>
    <t>Exclude from minutes count</t>
  </si>
  <si>
    <t>ADD (%)</t>
  </si>
  <si>
    <t>FDDN (%)</t>
  </si>
  <si>
    <t>Metric</t>
  </si>
  <si>
    <t>ADD (Minutes)</t>
  </si>
  <si>
    <t>FDDN (Minutes)</t>
  </si>
  <si>
    <t>Ground station</t>
  </si>
  <si>
    <t>Staff</t>
  </si>
  <si>
    <t>Satellites</t>
  </si>
  <si>
    <t>Single unit input costs</t>
  </si>
  <si>
    <t>LEO Unit quantities</t>
  </si>
  <si>
    <t>Category</t>
  </si>
  <si>
    <t xml:space="preserve">LEO </t>
  </si>
  <si>
    <t xml:space="preserve">GEO </t>
  </si>
  <si>
    <t>Cost type</t>
  </si>
  <si>
    <t>Constellation size</t>
  </si>
  <si>
    <t>Network ID</t>
  </si>
  <si>
    <t>Manufacturing (Sats)</t>
  </si>
  <si>
    <t>Launch (Sats)</t>
  </si>
  <si>
    <t>Ground satations</t>
  </si>
  <si>
    <t>Fiber (km)</t>
  </si>
  <si>
    <t>Spectrum (MHz)</t>
  </si>
  <si>
    <t>Reg. Fees (planes)</t>
  </si>
  <si>
    <t>O&amp;M</t>
  </si>
  <si>
    <t>Satellite manufacturing (per sat)</t>
  </si>
  <si>
    <t>$m</t>
  </si>
  <si>
    <t>LEO</t>
  </si>
  <si>
    <t>Satellite launch (per sat)</t>
  </si>
  <si>
    <t>Fiber infrastructure</t>
  </si>
  <si>
    <t>$m/km</t>
  </si>
  <si>
    <t xml:space="preserve">Spectrum </t>
  </si>
  <si>
    <t>$m/MHz</t>
  </si>
  <si>
    <t>Regulatory fees</t>
  </si>
  <si>
    <t>$m/plane/year</t>
  </si>
  <si>
    <t xml:space="preserve">Operation and maintenance </t>
  </si>
  <si>
    <t>% of capex/year</t>
  </si>
  <si>
    <t>$m/year</t>
  </si>
  <si>
    <t>%/year</t>
  </si>
  <si>
    <t>All networks are designed for 20 years (LEO sats each last 5 years, GEO sats last 20 years).</t>
  </si>
  <si>
    <t xml:space="preserve">The number of launch spots is proportional to the number of manufactured satellites. </t>
  </si>
  <si>
    <t>10 ground stations are required as a minimum, with one added per the scaling factor.</t>
  </si>
  <si>
    <t xml:space="preserve">Each ground station needs 10 km of new fiber. </t>
  </si>
  <si>
    <t xml:space="preserve">A constellation has a minimum of 2 orbital planes, with one plane added per 100 satellites. </t>
  </si>
  <si>
    <t xml:space="preserve">O&amp;M is 10% of the manufacturing, launch, ground station and fiber cost. </t>
  </si>
  <si>
    <t xml:space="preserve">Staff is a minimum of 100, and then increases per the scaling factor. </t>
  </si>
  <si>
    <t>Constellation</t>
  </si>
  <si>
    <t>Ground stations</t>
  </si>
  <si>
    <t>GS/satellite</t>
  </si>
  <si>
    <t>Kuiper</t>
  </si>
  <si>
    <t>LEO Costs ($ Million)</t>
  </si>
  <si>
    <t>Calculate opex costs for Reg. Fees, O&amp;M and Staff</t>
  </si>
  <si>
    <t>OneWeb</t>
  </si>
  <si>
    <t>Manufacturing ($m)</t>
  </si>
  <si>
    <t>Launch ($m)</t>
  </si>
  <si>
    <t>Ground satations ($m)</t>
  </si>
  <si>
    <t>Fiber ($m)</t>
  </si>
  <si>
    <t>Spectrum ($m)</t>
  </si>
  <si>
    <t>Reg. Fees ($m)</t>
  </si>
  <si>
    <t>O&amp;M ($m)</t>
  </si>
  <si>
    <t>Staff ($m)</t>
  </si>
  <si>
    <t>Total ($m)</t>
  </si>
  <si>
    <t>Starlink</t>
  </si>
  <si>
    <t>GEO</t>
  </si>
  <si>
    <t>LEO mean</t>
  </si>
  <si>
    <t>GEO mean</t>
  </si>
  <si>
    <t>MHz</t>
  </si>
  <si>
    <t>MHz/satellite</t>
  </si>
  <si>
    <t>Staff/satellite</t>
  </si>
  <si>
    <t>LEO Costs of Production</t>
  </si>
  <si>
    <t>Total cost ($m)</t>
  </si>
  <si>
    <t>Fixed cost ($m)</t>
  </si>
  <si>
    <t>Variable cost ($m)</t>
  </si>
  <si>
    <t>Average total cost ($/Min)</t>
  </si>
  <si>
    <t>Average fixed cost ($/Min)</t>
  </si>
  <si>
    <t>Average variable cost ($/Min)</t>
  </si>
  <si>
    <t>Marginal cost ($/min)</t>
  </si>
  <si>
    <t>Fixed costs - costs that do not change with the amount produced</t>
  </si>
  <si>
    <t>Variable costs - costs that do change with the amount produced</t>
  </si>
  <si>
    <t>Total cost - fixed costs plus variable costs</t>
  </si>
  <si>
    <t xml:space="preserve">Marginal cost - additional cost of producing one more unit. </t>
  </si>
  <si>
    <t>Manufacturing</t>
  </si>
  <si>
    <t>Launch</t>
  </si>
  <si>
    <t>Fiber</t>
  </si>
  <si>
    <t>Spectrum</t>
  </si>
  <si>
    <t>Reg. Fees</t>
  </si>
  <si>
    <t>GEO Costs ($ Million)</t>
  </si>
  <si>
    <t>GEO Economic Metrics</t>
  </si>
  <si>
    <t>GEO Unit Quantities</t>
  </si>
  <si>
    <t>Fixed cost ($)</t>
  </si>
  <si>
    <t>Variable cost ($)</t>
  </si>
  <si>
    <t>Single unit costs</t>
  </si>
  <si>
    <t>Unit quantities</t>
  </si>
  <si>
    <t>Antennas</t>
  </si>
  <si>
    <t>Antenna (per antenna)</t>
  </si>
  <si>
    <t>$m/Acre</t>
  </si>
  <si>
    <t>$mUSD</t>
  </si>
  <si>
    <t>Operation and maintenance</t>
  </si>
  <si>
    <t>Costs ($ Million)</t>
  </si>
  <si>
    <t>The site is designed for a 20 year lifespan.</t>
  </si>
  <si>
    <t>Economic Metrics</t>
  </si>
  <si>
    <t>A site starts with one antenna and has more added as the network expands</t>
  </si>
  <si>
    <t>ICT equipment provides all onsite networking equipment (servers, routers etc.)</t>
  </si>
  <si>
    <t>Civil engineering structure is a concrete slab, with a steel fence, operational building and space for atennas</t>
  </si>
  <si>
    <t xml:space="preserve">Each site needs 10 km of new fiber. </t>
  </si>
  <si>
    <t>An antenna requires a minimum of 20 MHz of spectrum.</t>
  </si>
  <si>
    <t>Antenna ID</t>
  </si>
  <si>
    <t xml:space="preserve">    - ASCEND is not a replacement for detailed bottom-up network-specific modeling. The aim is to provide a generalized understanding of incremental cost for different network suppliers.</t>
  </si>
  <si>
    <t xml:space="preserve">    - ASCEND is not an exact measurement tool but a scenario-based decision-support model which helps to understand future (unknown) demand and pricing scenarios.</t>
  </si>
  <si>
    <t xml:space="preserve">- NASA SCaN operational data for Direct-To-Earth (DTE) and Space Relay (SR) services. </t>
  </si>
  <si>
    <t>ASCEND informs high-level decisions pertaining to commercialization strategies of NASA's Near Space Network.</t>
  </si>
  <si>
    <t xml:space="preserve">    - Assessing commercial costs using top-down exogenous pricing (e.g., a given price/minute).</t>
  </si>
  <si>
    <t xml:space="preserve">    - Evaluating commercial costs using bottom-up endogenous pricing (e.g., based on estimated costs of production). </t>
  </si>
  <si>
    <t>- NASA SCaN aggregate forecast of mission demand</t>
  </si>
  <si>
    <t>Oughton, E.J., Weir, E.L. et al. (2024) “Assessing Commercialization Strategies for Evolving Network Demand in NASA's Space Communications and Networking (SCaN) program”, Working Paper 24/XX.</t>
  </si>
  <si>
    <t xml:space="preserve">    - Appraising cost scenarios for awarding contracts to different wireless communication service providers.</t>
  </si>
  <si>
    <t>By using ASCEND an analyst is able to answer the following specific questions:</t>
  </si>
  <si>
    <t>- What is NASA SCaN's historical, current operational and future network demand (in minutes)?</t>
  </si>
  <si>
    <t>- What is the impact on total cost of a supplier quoting a specific service price (in US$/minute)?</t>
  </si>
  <si>
    <t>- How do the costs of production change based on awarding contracts to a different number of suppliers (in US$)?</t>
  </si>
  <si>
    <t xml:space="preserve">- Historical demand is based on NASA's stated (i) 2020-2022 missions and (ii) mean minutes per mission. </t>
  </si>
  <si>
    <t xml:space="preserve">- Current operational demand is based on real 2023 network usage data. </t>
  </si>
  <si>
    <t xml:space="preserve">- Future demand is based on NASA's stated (i) aggregate 2024-2027 missions and (ii) mean minutes per mission. </t>
  </si>
  <si>
    <t xml:space="preserve">- Endogenous prices are estimated in ASCEND, based on cost inputs from the literature, for hypothetical network operators. </t>
  </si>
  <si>
    <t>- Exogenous prices are based on NASA's Mission Operations and Communications Services (MOCS) prices.</t>
  </si>
  <si>
    <t>- Within these general services there are three communication methods, Direct-To-Earth (DTE), Space Relay (SR) and Launch Events (LE).</t>
  </si>
  <si>
    <t>- ASCEND considers Assured Data Delivery (ADD) and File Data Delivery and Networking (FDDN) services.</t>
  </si>
  <si>
    <t>- How much would it cost to purchase these services from commercial providers (in US$)?</t>
  </si>
  <si>
    <t xml:space="preserve">    - Estimating the commercial cost of meeting historical, current operational, and future demand for wireless communication services.</t>
  </si>
  <si>
    <t>The ASCEND Modeling Approach</t>
  </si>
  <si>
    <t xml:space="preserve"> Annual Service Cost (US$)</t>
  </si>
  <si>
    <t>DTE $/Min</t>
  </si>
  <si>
    <t>SR $/Min</t>
  </si>
  <si>
    <t>Service Method</t>
  </si>
  <si>
    <t>Mean DTE service time per mission</t>
  </si>
  <si>
    <t>Mean DTE service time per mission w/o Human Space Flight</t>
  </si>
  <si>
    <t>Mean SR service time per mission</t>
  </si>
  <si>
    <t>Mean SR service time per mission w/o Human Space Flight</t>
  </si>
  <si>
    <t>Current Annual Operational Demand (based on NASA SCaN 2023 usage data)</t>
  </si>
  <si>
    <t>Estimated Annual Future demand (based on NASA SCaN 2024-2027 Mission Forecast)</t>
  </si>
  <si>
    <t>Historical Annual Demand (Annual based on NASA 2020-2022 Forecast)</t>
  </si>
  <si>
    <t>There are no spectrum costs (unlike terrestrial which often requires an exclusive license).</t>
  </si>
  <si>
    <t>Average fixed cost (US$/Min)</t>
  </si>
  <si>
    <t>Average variable cost (US$/Min)</t>
  </si>
  <si>
    <t xml:space="preserve">    - Quantifying historical, current operational, and future NASA demand for wireless communication services.</t>
  </si>
  <si>
    <t>Starlink*</t>
  </si>
  <si>
    <t>*only 10% of staff work on Starlink</t>
  </si>
  <si>
    <t xml:space="preserve">Staff is a minimum of 200, and then increases per the staff scaling factor. </t>
  </si>
  <si>
    <t>Estimate staff scaling factor</t>
  </si>
  <si>
    <t>Estimate spectrum scaling factor</t>
  </si>
  <si>
    <t>Estimate GS scaling factor</t>
  </si>
  <si>
    <t>19 $/Min (NASA MOCS)</t>
  </si>
  <si>
    <t>91 $/Min (NASA MOCS)</t>
  </si>
  <si>
    <t>Scenario 1 - 2 suppliers</t>
  </si>
  <si>
    <t>Scenario 2 - 4 suppliers</t>
  </si>
  <si>
    <t>Scenario 3 - 6 suppliers</t>
  </si>
  <si>
    <t>User-defined price</t>
  </si>
  <si>
    <t>- Select "User-defined price" in the left-hand yellow boxes.</t>
  </si>
  <si>
    <t>- Enter your chosen value in the yellow boxes below.</t>
  </si>
  <si>
    <t>Specify a user-defined price.</t>
  </si>
  <si>
    <t xml:space="preserve">Specify a pre-defined price.  </t>
  </si>
  <si>
    <t>Instructions for setting a user-defined price:</t>
  </si>
  <si>
    <t>The price to be used is:</t>
  </si>
  <si>
    <t>SR - LEO</t>
  </si>
  <si>
    <t>SR - GEO</t>
  </si>
  <si>
    <t xml:space="preserve">DTE </t>
  </si>
  <si>
    <t>Here we calculate the current commercial cost, based on annual DTE/SR operational demand from 2023. The service split (for ADD/FDDN) is applied from the NASA SCaN forecast.</t>
  </si>
  <si>
    <t>Here we calculate the cost of using commerical providers, based on NASA SCaN's stated historical (2020-2022) mission count (using mean minutes per mission from 2023 operational data).</t>
  </si>
  <si>
    <t>Here we calculate the commercial cost for NASA's future mission demand forecast for 2023-2027 (using mean minutes per mission from 2023 operational data).</t>
  </si>
  <si>
    <t xml:space="preserve">The model now has the main relationships specified between the key variables. </t>
  </si>
  <si>
    <t xml:space="preserve">Disclaimer </t>
  </si>
  <si>
    <t>However, the model is still unvalidated, and will be re-parameterized once there is general agreement on the approach proposed here.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</si>
</sst>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4" formatCode="_(&quot;$&quot;* #,##0.00_);_(&quot;$&quot;* \(#,##0.00\);_(&quot;$&quot;* &quot;-&quot;??_);_(@_)"/>
    <numFmt numFmtId="43" formatCode="_(* #,##0.00_);_(* \(#,##0.00\);_(* &quot;-&quot;??_);_(@_)"/>
    <numFmt numFmtId="164" formatCode="_-* #,##0.00_-;\-* #,##0.00_-;_-* &quot;-&quot;??_-;_-@_-"/>
    <numFmt numFmtId="165" formatCode="0.0"/>
    <numFmt numFmtId="166" formatCode="_(* #,##0_);_(* \(#,##0\);_(* &quot;-&quot;??_);_(@_)"/>
    <numFmt numFmtId="167" formatCode="0.0%"/>
    <numFmt numFmtId="168" formatCode="_(* #,##0.0_);_(* \(#,##0.0\);_(* &quot;-&quot;??_);_(@_)"/>
    <numFmt numFmtId="169" formatCode="0.000"/>
    <numFmt numFmtId="170" formatCode="0.0000000"/>
    <numFmt numFmtId="171" formatCode="_(&quot;$&quot;* #,##0_);_(&quot;$&quot;* \(#,##0\);_(&quot;$&quot;* &quot;-&quot;??_);_(@_)"/>
  </numFmts>
  <fonts count="54" x14ac:knownFonts="1">
    <font>
      <sz val="11"/>
      <color theme="1"/>
      <name val="Calibri"/>
      <family val="2"/>
      <scheme val="minor"/>
    </font>
    <font>
      <sz val="12"/>
      <color theme="1"/>
      <name val="Calibri"/>
      <family val="2"/>
      <scheme val="minor"/>
    </font>
    <font>
      <sz val="11"/>
      <color theme="1"/>
      <name val="Calibri"/>
      <family val="2"/>
      <scheme val="minor"/>
    </font>
    <font>
      <b/>
      <sz val="11"/>
      <color theme="1"/>
      <name val="Calibri"/>
      <family val="2"/>
      <scheme val="minor"/>
    </font>
    <font>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u/>
      <sz val="11"/>
      <color theme="10"/>
      <name val="Calibri"/>
      <family val="2"/>
      <scheme val="minor"/>
    </font>
    <font>
      <sz val="11"/>
      <name val="Helvetica"/>
    </font>
    <font>
      <sz val="11"/>
      <color theme="1"/>
      <name val="Helvetica"/>
    </font>
    <font>
      <sz val="20"/>
      <color rgb="FFFFFFFF"/>
      <name val="Helvetica"/>
    </font>
    <font>
      <b/>
      <sz val="11"/>
      <name val="Helvetica"/>
    </font>
    <font>
      <sz val="20"/>
      <name val="Helvetica"/>
    </font>
    <font>
      <u/>
      <sz val="11"/>
      <color theme="10"/>
      <name val="Helvetica"/>
    </font>
    <font>
      <sz val="11"/>
      <color theme="0"/>
      <name val="Helvetica"/>
    </font>
    <font>
      <sz val="9"/>
      <color theme="0"/>
      <name val="Helvetica"/>
    </font>
    <font>
      <sz val="10"/>
      <color theme="0"/>
      <name val="Helvetica"/>
    </font>
    <font>
      <b/>
      <sz val="11"/>
      <color theme="1"/>
      <name val="Helvetica"/>
    </font>
    <font>
      <sz val="11"/>
      <color rgb="FF000000"/>
      <name val="Helvetica"/>
    </font>
    <font>
      <sz val="11"/>
      <color rgb="FFFF0000"/>
      <name val="Helvetica"/>
    </font>
    <font>
      <i/>
      <sz val="11"/>
      <color theme="1"/>
      <name val="Helvetica"/>
    </font>
    <font>
      <b/>
      <sz val="11"/>
      <color rgb="FF000000"/>
      <name val="Helvetica"/>
    </font>
    <font>
      <i/>
      <sz val="11"/>
      <color rgb="FF000000"/>
      <name val="Helvetica"/>
    </font>
    <font>
      <b/>
      <sz val="11"/>
      <color theme="0"/>
      <name val="Helvetica"/>
    </font>
    <font>
      <b/>
      <sz val="12"/>
      <color rgb="FFFF0000"/>
      <name val="Helvetica"/>
    </font>
    <font>
      <sz val="8"/>
      <color rgb="FFBDC1C6"/>
      <name val="Roboto"/>
    </font>
    <font>
      <b/>
      <sz val="8"/>
      <color rgb="FFBCC0C3"/>
      <name val="Roboto"/>
    </font>
    <font>
      <sz val="11"/>
      <name val="Calibri"/>
      <family val="2"/>
      <scheme val="minor"/>
    </font>
    <font>
      <b/>
      <sz val="11"/>
      <color rgb="FFFF0000"/>
      <name val="Helvetica"/>
    </font>
    <font>
      <b/>
      <sz val="12"/>
      <name val="Helvetica"/>
    </font>
    <font>
      <sz val="12"/>
      <name val="Calibri"/>
      <family val="2"/>
      <scheme val="minor"/>
    </font>
    <font>
      <sz val="8"/>
      <name val="Calibri"/>
      <family val="2"/>
      <scheme val="minor"/>
    </font>
    <font>
      <b/>
      <sz val="12"/>
      <color theme="1"/>
      <name val="Helvetica"/>
    </font>
    <font>
      <strike/>
      <sz val="11"/>
      <color theme="1"/>
      <name val="Helvetica"/>
    </font>
    <font>
      <b/>
      <strike/>
      <sz val="11"/>
      <color rgb="FF000000"/>
      <name val="Helvetica"/>
    </font>
    <font>
      <i/>
      <sz val="14"/>
      <name val="Helvetica"/>
    </font>
    <font>
      <b/>
      <sz val="14"/>
      <color theme="1"/>
      <name val="Helvetica"/>
    </font>
    <font>
      <sz val="12"/>
      <name val="Helvetica"/>
    </font>
    <font>
      <b/>
      <sz val="16"/>
      <name val="Helvetica"/>
    </font>
    <font>
      <b/>
      <sz val="10"/>
      <color theme="1"/>
      <name val="Helvetica"/>
    </font>
    <font>
      <b/>
      <sz val="9"/>
      <color theme="1"/>
      <name val="Helvetica"/>
    </font>
    <font>
      <sz val="12"/>
      <color theme="1"/>
      <name val="Helvetica"/>
    </font>
  </fonts>
  <fills count="43">
    <fill>
      <patternFill patternType="none"/>
    </fill>
    <fill>
      <patternFill patternType="gray125"/>
    </fill>
    <fill>
      <patternFill patternType="solid">
        <fgColor rgb="FFFFFF00"/>
        <bgColor indexed="64"/>
      </patternFill>
    </fill>
    <fill>
      <patternFill patternType="solid">
        <fgColor theme="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105BD8"/>
        <bgColor rgb="FF004C97"/>
      </patternFill>
    </fill>
    <fill>
      <patternFill patternType="solid">
        <fgColor rgb="FF105BD8"/>
        <bgColor indexed="64"/>
      </patternFill>
    </fill>
    <fill>
      <patternFill patternType="solid">
        <fgColor rgb="FF061F4A"/>
        <bgColor rgb="FFC00000"/>
      </patternFill>
    </fill>
    <fill>
      <patternFill patternType="solid">
        <fgColor rgb="FF061F4A"/>
        <bgColor indexed="64"/>
      </patternFill>
    </fill>
    <fill>
      <patternFill patternType="solid">
        <fgColor rgb="FF061F4A"/>
        <bgColor rgb="FF004C97"/>
      </patternFill>
    </fill>
    <fill>
      <patternFill patternType="solid">
        <fgColor theme="8"/>
        <bgColor indexed="64"/>
      </patternFill>
    </fill>
    <fill>
      <patternFill patternType="solid">
        <fgColor theme="3"/>
        <bgColor indexed="64"/>
      </patternFill>
    </fill>
    <fill>
      <patternFill patternType="solid">
        <fgColor theme="0" tint="-4.9989318521683403E-2"/>
        <bgColor indexed="64"/>
      </patternFill>
    </fill>
  </fills>
  <borders count="48">
    <border>
      <left/>
      <right/>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style="thin">
        <color indexed="64"/>
      </right>
      <top style="medium">
        <color indexed="64"/>
      </top>
      <bottom style="thin">
        <color indexed="64"/>
      </bottom>
      <diagonal/>
    </border>
    <border>
      <left style="thin">
        <color indexed="64"/>
      </left>
      <right style="thick">
        <color indexed="64"/>
      </right>
      <top style="thin">
        <color indexed="64"/>
      </top>
      <bottom style="thin">
        <color indexed="64"/>
      </bottom>
      <diagonal/>
    </border>
    <border>
      <left/>
      <right style="thick">
        <color indexed="64"/>
      </right>
      <top/>
      <bottom/>
      <diagonal/>
    </border>
    <border>
      <left style="thin">
        <color indexed="64"/>
      </left>
      <right style="thick">
        <color indexed="64"/>
      </right>
      <top style="medium">
        <color indexed="64"/>
      </top>
      <bottom style="thin">
        <color indexed="64"/>
      </bottom>
      <diagonal/>
    </border>
    <border>
      <left/>
      <right/>
      <top/>
      <bottom style="thin">
        <color indexed="64"/>
      </bottom>
      <diagonal/>
    </border>
    <border>
      <left style="thin">
        <color indexed="64"/>
      </left>
      <right/>
      <top style="medium">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thin">
        <color indexed="64"/>
      </left>
      <right/>
      <top style="thin">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
      <left/>
      <right/>
      <top/>
      <bottom style="medium">
        <color indexed="64"/>
      </bottom>
      <diagonal/>
    </border>
    <border>
      <left/>
      <right/>
      <top style="thin">
        <color indexed="64"/>
      </top>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s>
  <cellStyleXfs count="48">
    <xf numFmtId="0" fontId="0" fillId="0" borderId="0"/>
    <xf numFmtId="9" fontId="1" fillId="0" borderId="0"/>
    <xf numFmtId="43" fontId="2" fillId="0" borderId="0" applyFont="0" applyFill="0" applyBorder="0" applyAlignment="0" applyProtection="0"/>
    <xf numFmtId="0" fontId="4" fillId="0" borderId="0" applyNumberFormat="0" applyFill="0" applyBorder="0" applyAlignment="0" applyProtection="0"/>
    <xf numFmtId="0" fontId="5" fillId="0" borderId="10" applyNumberFormat="0" applyFill="0" applyAlignment="0" applyProtection="0"/>
    <xf numFmtId="0" fontId="6" fillId="0" borderId="11" applyNumberFormat="0" applyFill="0" applyAlignment="0" applyProtection="0"/>
    <xf numFmtId="0" fontId="7" fillId="0" borderId="12" applyNumberFormat="0" applyFill="0" applyAlignment="0" applyProtection="0"/>
    <xf numFmtId="0" fontId="7" fillId="0" borderId="0" applyNumberFormat="0" applyFill="0" applyBorder="0" applyAlignment="0" applyProtection="0"/>
    <xf numFmtId="0" fontId="8" fillId="4" borderId="0" applyNumberFormat="0" applyBorder="0" applyAlignment="0" applyProtection="0"/>
    <xf numFmtId="0" fontId="9" fillId="5" borderId="0" applyNumberFormat="0" applyBorder="0" applyAlignment="0" applyProtection="0"/>
    <xf numFmtId="0" fontId="10" fillId="6" borderId="0" applyNumberFormat="0" applyBorder="0" applyAlignment="0" applyProtection="0"/>
    <xf numFmtId="0" fontId="11" fillId="7" borderId="13" applyNumberFormat="0" applyAlignment="0" applyProtection="0"/>
    <xf numFmtId="0" fontId="12" fillId="8" borderId="14" applyNumberFormat="0" applyAlignment="0" applyProtection="0"/>
    <xf numFmtId="0" fontId="13" fillId="8" borderId="13" applyNumberFormat="0" applyAlignment="0" applyProtection="0"/>
    <xf numFmtId="0" fontId="14" fillId="0" borderId="15" applyNumberFormat="0" applyFill="0" applyAlignment="0" applyProtection="0"/>
    <xf numFmtId="0" fontId="15" fillId="9" borderId="16" applyNumberFormat="0" applyAlignment="0" applyProtection="0"/>
    <xf numFmtId="0" fontId="16" fillId="0" borderId="0" applyNumberFormat="0" applyFill="0" applyBorder="0" applyAlignment="0" applyProtection="0"/>
    <xf numFmtId="0" fontId="2" fillId="10" borderId="17" applyNumberFormat="0" applyFont="0" applyAlignment="0" applyProtection="0"/>
    <xf numFmtId="0" fontId="17" fillId="0" borderId="0" applyNumberFormat="0" applyFill="0" applyBorder="0" applyAlignment="0" applyProtection="0"/>
    <xf numFmtId="0" fontId="3" fillId="0" borderId="18" applyNumberFormat="0" applyFill="0" applyAlignment="0" applyProtection="0"/>
    <xf numFmtId="0" fontId="18"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18"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18" fillId="19" borderId="0" applyNumberFormat="0" applyBorder="0" applyAlignment="0" applyProtection="0"/>
    <xf numFmtId="0" fontId="2" fillId="20" borderId="0" applyNumberFormat="0" applyBorder="0" applyAlignment="0" applyProtection="0"/>
    <xf numFmtId="0" fontId="2" fillId="21" borderId="0" applyNumberFormat="0" applyBorder="0" applyAlignment="0" applyProtection="0"/>
    <xf numFmtId="0" fontId="2" fillId="22" borderId="0" applyNumberFormat="0" applyBorder="0" applyAlignment="0" applyProtection="0"/>
    <xf numFmtId="0" fontId="18" fillId="23" borderId="0" applyNumberFormat="0" applyBorder="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18" fillId="27"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18" fillId="31"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164" fontId="2" fillId="0" borderId="0" applyFont="0" applyFill="0" applyBorder="0" applyAlignment="0" applyProtection="0"/>
    <xf numFmtId="0" fontId="19" fillId="0" borderId="0" applyNumberFormat="0" applyFill="0" applyBorder="0" applyAlignment="0" applyProtection="0"/>
    <xf numFmtId="0" fontId="2" fillId="0" borderId="0"/>
    <xf numFmtId="44" fontId="2" fillId="0" borderId="0" applyFont="0" applyFill="0" applyBorder="0" applyAlignment="0" applyProtection="0"/>
  </cellStyleXfs>
  <cellXfs count="527">
    <xf numFmtId="0" fontId="0" fillId="0" borderId="0" xfId="0"/>
    <xf numFmtId="0" fontId="20" fillId="0" borderId="0" xfId="0" applyFont="1"/>
    <xf numFmtId="0" fontId="21" fillId="0" borderId="0" xfId="0" applyFont="1"/>
    <xf numFmtId="0" fontId="23" fillId="0" borderId="0" xfId="0" applyFont="1"/>
    <xf numFmtId="0" fontId="20" fillId="0" borderId="0" xfId="0" quotePrefix="1" applyFont="1"/>
    <xf numFmtId="0" fontId="20" fillId="35" borderId="0" xfId="0" applyFont="1" applyFill="1"/>
    <xf numFmtId="0" fontId="21" fillId="36" borderId="0" xfId="0" applyFont="1" applyFill="1"/>
    <xf numFmtId="0" fontId="20" fillId="37" borderId="0" xfId="0" applyFont="1" applyFill="1"/>
    <xf numFmtId="0" fontId="21" fillId="38" borderId="0" xfId="0" applyFont="1" applyFill="1"/>
    <xf numFmtId="0" fontId="24" fillId="0" borderId="0" xfId="0" applyFont="1"/>
    <xf numFmtId="0" fontId="25" fillId="0" borderId="0" xfId="45" applyFont="1"/>
    <xf numFmtId="0" fontId="26" fillId="38" borderId="0" xfId="0" applyFont="1" applyFill="1"/>
    <xf numFmtId="0" fontId="0" fillId="0" borderId="0" xfId="0"/>
    <xf numFmtId="0" fontId="27" fillId="38" borderId="1" xfId="0" applyFont="1" applyFill="1" applyBorder="1" applyAlignment="1">
      <alignment horizontal="center" vertical="center"/>
    </xf>
    <xf numFmtId="0" fontId="21" fillId="3" borderId="1" xfId="0" applyFont="1" applyFill="1" applyBorder="1" applyAlignment="1">
      <alignment horizontal="center"/>
    </xf>
    <xf numFmtId="0" fontId="21" fillId="3" borderId="1" xfId="0" applyFont="1" applyFill="1" applyBorder="1" applyAlignment="1">
      <alignment horizontal="center" vertical="center"/>
    </xf>
    <xf numFmtId="0" fontId="21" fillId="3" borderId="5" xfId="0" applyFont="1" applyFill="1" applyBorder="1" applyAlignment="1">
      <alignment horizontal="center" vertical="center"/>
    </xf>
    <xf numFmtId="0" fontId="21" fillId="3" borderId="9" xfId="0" applyFont="1" applyFill="1" applyBorder="1" applyAlignment="1">
      <alignment horizontal="center" vertical="center"/>
    </xf>
    <xf numFmtId="9" fontId="21" fillId="0" borderId="1" xfId="1" applyFont="1" applyBorder="1"/>
    <xf numFmtId="166" fontId="0" fillId="0" borderId="0" xfId="2" applyNumberFormat="1" applyFont="1" applyAlignment="1">
      <alignment horizontal="center"/>
    </xf>
    <xf numFmtId="166" fontId="0" fillId="0" borderId="0" xfId="2" applyNumberFormat="1" applyFont="1" applyBorder="1" applyAlignment="1">
      <alignment horizontal="center"/>
    </xf>
    <xf numFmtId="0" fontId="29" fillId="3" borderId="4" xfId="0" applyFont="1" applyFill="1" applyBorder="1" applyAlignment="1">
      <alignment horizontal="center" vertical="center" wrapText="1"/>
    </xf>
    <xf numFmtId="166" fontId="21" fillId="0" borderId="0" xfId="2" applyNumberFormat="1" applyFont="1"/>
    <xf numFmtId="1" fontId="21" fillId="0" borderId="1" xfId="0" applyNumberFormat="1" applyFont="1" applyBorder="1"/>
    <xf numFmtId="0" fontId="21" fillId="0" borderId="1" xfId="0" applyFont="1" applyBorder="1"/>
    <xf numFmtId="166" fontId="21" fillId="0" borderId="0" xfId="0" applyNumberFormat="1" applyFont="1"/>
    <xf numFmtId="166" fontId="21" fillId="0" borderId="0" xfId="2" applyNumberFormat="1" applyFont="1" applyAlignment="1">
      <alignment horizontal="center"/>
    </xf>
    <xf numFmtId="166" fontId="21" fillId="0" borderId="25" xfId="2" applyNumberFormat="1" applyFont="1" applyBorder="1" applyAlignment="1">
      <alignment horizontal="center"/>
    </xf>
    <xf numFmtId="166" fontId="21" fillId="0" borderId="1" xfId="2" applyNumberFormat="1" applyFont="1" applyBorder="1" applyAlignment="1">
      <alignment horizontal="center"/>
    </xf>
    <xf numFmtId="0" fontId="16" fillId="0" borderId="0" xfId="0" applyFont="1"/>
    <xf numFmtId="0" fontId="26" fillId="38" borderId="1" xfId="0" applyFont="1" applyFill="1" applyBorder="1" applyAlignment="1">
      <alignment horizontal="center" vertical="center" wrapText="1" readingOrder="1"/>
    </xf>
    <xf numFmtId="0" fontId="26" fillId="38" borderId="1" xfId="0" applyFont="1" applyFill="1" applyBorder="1" applyAlignment="1">
      <alignment horizontal="center" vertical="center"/>
    </xf>
    <xf numFmtId="0" fontId="30" fillId="3" borderId="1" xfId="0" applyFont="1" applyFill="1" applyBorder="1" applyAlignment="1">
      <alignment horizontal="center" vertical="center" wrapText="1" readingOrder="1"/>
    </xf>
    <xf numFmtId="14" fontId="21" fillId="3" borderId="1" xfId="0" applyNumberFormat="1" applyFont="1" applyFill="1" applyBorder="1" applyAlignment="1">
      <alignment horizontal="center" vertical="center" wrapText="1"/>
    </xf>
    <xf numFmtId="0" fontId="0" fillId="0" borderId="1" xfId="0" applyFont="1" applyBorder="1" applyAlignment="1">
      <alignment horizontal="center" vertical="center"/>
    </xf>
    <xf numFmtId="0" fontId="0" fillId="0" borderId="0" xfId="0" applyFont="1"/>
    <xf numFmtId="14" fontId="21" fillId="3" borderId="4" xfId="0" applyNumberFormat="1" applyFont="1" applyFill="1" applyBorder="1" applyAlignment="1">
      <alignment horizontal="center" vertical="center" wrapText="1"/>
    </xf>
    <xf numFmtId="1" fontId="21" fillId="3" borderId="1" xfId="0" applyNumberFormat="1" applyFont="1" applyFill="1" applyBorder="1" applyAlignment="1">
      <alignment horizontal="center" vertical="center" wrapText="1"/>
    </xf>
    <xf numFmtId="9" fontId="21" fillId="0" borderId="5" xfId="1" applyFont="1" applyBorder="1"/>
    <xf numFmtId="0" fontId="20" fillId="3" borderId="1" xfId="0" applyFont="1" applyFill="1" applyBorder="1" applyAlignment="1">
      <alignment horizontal="center" vertical="center" wrapText="1"/>
    </xf>
    <xf numFmtId="0" fontId="21" fillId="3" borderId="1" xfId="0" applyFont="1" applyFill="1" applyBorder="1" applyAlignment="1">
      <alignment horizontal="center" vertical="center" wrapText="1"/>
    </xf>
    <xf numFmtId="0" fontId="31" fillId="3" borderId="1" xfId="0" applyFont="1" applyFill="1" applyBorder="1" applyAlignment="1">
      <alignment horizontal="center" vertical="center" wrapText="1" readingOrder="1"/>
    </xf>
    <xf numFmtId="14" fontId="21" fillId="3" borderId="6" xfId="0" applyNumberFormat="1" applyFont="1" applyFill="1" applyBorder="1" applyAlignment="1">
      <alignment horizontal="center" vertical="center" wrapText="1"/>
    </xf>
    <xf numFmtId="14" fontId="29" fillId="3" borderId="1" xfId="0" applyNumberFormat="1" applyFont="1" applyFill="1" applyBorder="1" applyAlignment="1">
      <alignment horizontal="right" vertical="center" wrapText="1"/>
    </xf>
    <xf numFmtId="0" fontId="21" fillId="0" borderId="1" xfId="0" applyFont="1" applyBorder="1" applyAlignment="1">
      <alignment horizontal="center" vertical="center"/>
    </xf>
    <xf numFmtId="14" fontId="21" fillId="3" borderId="1" xfId="0" applyNumberFormat="1" applyFont="1" applyFill="1" applyBorder="1" applyAlignment="1">
      <alignment horizontal="center" vertical="center"/>
    </xf>
    <xf numFmtId="0" fontId="26" fillId="38" borderId="0" xfId="0" applyFont="1" applyFill="1" applyAlignment="1">
      <alignment horizontal="center" vertical="center"/>
    </xf>
    <xf numFmtId="9" fontId="21" fillId="0" borderId="5" xfId="1" applyFont="1" applyBorder="1" applyAlignment="1">
      <alignment horizontal="center" vertical="center"/>
    </xf>
    <xf numFmtId="0" fontId="21" fillId="0" borderId="0" xfId="0" applyFont="1" applyBorder="1"/>
    <xf numFmtId="0" fontId="21" fillId="0" borderId="0" xfId="0" applyFont="1" applyBorder="1" applyAlignment="1">
      <alignment horizontal="center"/>
    </xf>
    <xf numFmtId="0" fontId="29" fillId="3" borderId="1" xfId="0" applyFont="1" applyFill="1" applyBorder="1" applyAlignment="1">
      <alignment horizontal="center" vertical="center" wrapText="1"/>
    </xf>
    <xf numFmtId="1" fontId="31" fillId="3" borderId="1" xfId="0" applyNumberFormat="1" applyFont="1" applyFill="1" applyBorder="1" applyAlignment="1">
      <alignment horizontal="center" vertical="center" wrapText="1" readingOrder="1"/>
    </xf>
    <xf numFmtId="165" fontId="21" fillId="3" borderId="1" xfId="0" applyNumberFormat="1" applyFont="1" applyFill="1" applyBorder="1" applyAlignment="1">
      <alignment horizontal="center" vertical="center" wrapText="1"/>
    </xf>
    <xf numFmtId="0" fontId="26" fillId="38" borderId="22" xfId="0" applyFont="1" applyFill="1" applyBorder="1" applyAlignment="1">
      <alignment horizontal="center" vertical="center" wrapText="1" readingOrder="1"/>
    </xf>
    <xf numFmtId="0" fontId="26" fillId="38" borderId="22" xfId="0" applyFont="1" applyFill="1" applyBorder="1" applyAlignment="1">
      <alignment horizontal="center" vertical="center"/>
    </xf>
    <xf numFmtId="0" fontId="0" fillId="0" borderId="0" xfId="0" applyFont="1" applyAlignment="1">
      <alignment horizontal="center"/>
    </xf>
    <xf numFmtId="0" fontId="20" fillId="3" borderId="1" xfId="0" applyFont="1" applyFill="1" applyBorder="1" applyAlignment="1">
      <alignment horizontal="center" vertical="center" wrapText="1" readingOrder="1"/>
    </xf>
    <xf numFmtId="0" fontId="23" fillId="0" borderId="2" xfId="0" applyFont="1" applyFill="1" applyBorder="1" applyAlignment="1">
      <alignment horizontal="center" vertical="center" wrapText="1" readingOrder="1"/>
    </xf>
    <xf numFmtId="0" fontId="23" fillId="0" borderId="8" xfId="0" applyFont="1" applyFill="1" applyBorder="1" applyAlignment="1">
      <alignment horizontal="center" vertical="center" wrapText="1" readingOrder="1"/>
    </xf>
    <xf numFmtId="0" fontId="23" fillId="0" borderId="3" xfId="0" applyFont="1" applyFill="1" applyBorder="1" applyAlignment="1">
      <alignment horizontal="center" vertical="center" wrapText="1" readingOrder="1"/>
    </xf>
    <xf numFmtId="0" fontId="21" fillId="0" borderId="0" xfId="0" applyFont="1" applyFill="1" applyBorder="1" applyAlignment="1">
      <alignment horizontal="center" vertical="center"/>
    </xf>
    <xf numFmtId="14" fontId="21" fillId="0" borderId="0" xfId="0" applyNumberFormat="1" applyFont="1" applyFill="1" applyBorder="1" applyAlignment="1">
      <alignment horizontal="center" vertical="center" wrapText="1"/>
    </xf>
    <xf numFmtId="0" fontId="31" fillId="0" borderId="0" xfId="0" applyFont="1" applyFill="1" applyBorder="1" applyAlignment="1">
      <alignment horizontal="center" vertical="center" wrapText="1" readingOrder="1"/>
    </xf>
    <xf numFmtId="0" fontId="21" fillId="0" borderId="0" xfId="0" applyFont="1" applyFill="1"/>
    <xf numFmtId="0" fontId="30" fillId="0" borderId="0" xfId="0" applyFont="1" applyFill="1" applyBorder="1" applyAlignment="1">
      <alignment horizontal="center" vertical="center" wrapText="1" readingOrder="1"/>
    </xf>
    <xf numFmtId="0" fontId="21" fillId="0" borderId="0" xfId="0" applyFont="1" applyFill="1" applyBorder="1" applyAlignment="1">
      <alignment horizontal="center" vertical="center" wrapText="1"/>
    </xf>
    <xf numFmtId="0" fontId="21" fillId="0" borderId="0" xfId="0" applyFont="1" applyFill="1" applyBorder="1"/>
    <xf numFmtId="0" fontId="26" fillId="38" borderId="24" xfId="0" applyFont="1" applyFill="1" applyBorder="1" applyAlignment="1">
      <alignment horizontal="center" vertical="center"/>
    </xf>
    <xf numFmtId="0" fontId="26" fillId="38" borderId="20" xfId="0" applyFont="1" applyFill="1" applyBorder="1" applyAlignment="1">
      <alignment horizontal="center" vertical="center" wrapText="1" readingOrder="1"/>
    </xf>
    <xf numFmtId="0" fontId="31" fillId="3" borderId="24" xfId="0" applyFont="1" applyFill="1" applyBorder="1" applyAlignment="1">
      <alignment horizontal="center" vertical="center" wrapText="1" readingOrder="1"/>
    </xf>
    <xf numFmtId="0" fontId="31" fillId="3" borderId="20" xfId="0" applyFont="1" applyFill="1" applyBorder="1" applyAlignment="1">
      <alignment horizontal="center" vertical="center" wrapText="1" readingOrder="1"/>
    </xf>
    <xf numFmtId="0" fontId="20" fillId="3" borderId="24" xfId="0" applyFont="1" applyFill="1" applyBorder="1" applyAlignment="1">
      <alignment horizontal="center" vertical="center" wrapText="1" readingOrder="1"/>
    </xf>
    <xf numFmtId="0" fontId="20" fillId="3" borderId="20" xfId="0" applyFont="1" applyFill="1" applyBorder="1" applyAlignment="1">
      <alignment horizontal="center" vertical="center" wrapText="1" readingOrder="1"/>
    </xf>
    <xf numFmtId="0" fontId="30" fillId="3" borderId="24" xfId="0" applyFont="1" applyFill="1" applyBorder="1" applyAlignment="1">
      <alignment horizontal="center" vertical="center" wrapText="1" readingOrder="1"/>
    </xf>
    <xf numFmtId="0" fontId="30" fillId="3" borderId="20" xfId="0" applyFont="1" applyFill="1" applyBorder="1" applyAlignment="1">
      <alignment horizontal="center" vertical="center" wrapText="1" readingOrder="1"/>
    </xf>
    <xf numFmtId="0" fontId="23" fillId="0" borderId="26" xfId="0" applyFont="1" applyFill="1" applyBorder="1" applyAlignment="1">
      <alignment horizontal="center" vertical="center" wrapText="1" readingOrder="1"/>
    </xf>
    <xf numFmtId="0" fontId="23" fillId="0" borderId="23" xfId="0" applyFont="1" applyFill="1" applyBorder="1" applyAlignment="1">
      <alignment horizontal="center" vertical="center" wrapText="1" readingOrder="1"/>
    </xf>
    <xf numFmtId="0" fontId="23" fillId="0" borderId="1" xfId="0" applyFont="1" applyFill="1" applyBorder="1" applyAlignment="1">
      <alignment horizontal="center" vertical="center" wrapText="1" readingOrder="1"/>
    </xf>
    <xf numFmtId="0" fontId="26" fillId="38" borderId="1" xfId="2" applyNumberFormat="1" applyFont="1" applyFill="1" applyBorder="1" applyAlignment="1">
      <alignment horizontal="center" vertical="center" wrapText="1" readingOrder="1"/>
    </xf>
    <xf numFmtId="0" fontId="26" fillId="38" borderId="1" xfId="2" applyNumberFormat="1" applyFont="1" applyFill="1" applyBorder="1" applyAlignment="1">
      <alignment horizontal="center" vertical="center"/>
    </xf>
    <xf numFmtId="0" fontId="26" fillId="38" borderId="0" xfId="0" applyFont="1" applyFill="1" applyBorder="1" applyAlignment="1">
      <alignment horizontal="center" vertical="center"/>
    </xf>
    <xf numFmtId="166" fontId="21" fillId="3" borderId="1" xfId="2" applyNumberFormat="1" applyFont="1" applyFill="1" applyBorder="1" applyAlignment="1">
      <alignment horizontal="center" vertical="center" wrapText="1"/>
    </xf>
    <xf numFmtId="14" fontId="29" fillId="3" borderId="1" xfId="0" applyNumberFormat="1" applyFont="1" applyFill="1" applyBorder="1" applyAlignment="1">
      <alignment horizontal="center" vertical="center" wrapText="1"/>
    </xf>
    <xf numFmtId="166" fontId="26" fillId="38" borderId="1" xfId="2" applyNumberFormat="1" applyFont="1" applyFill="1" applyBorder="1" applyAlignment="1">
      <alignment horizontal="center" vertical="center" wrapText="1"/>
    </xf>
    <xf numFmtId="43" fontId="21" fillId="0" borderId="0" xfId="0" applyNumberFormat="1" applyFont="1"/>
    <xf numFmtId="0" fontId="21" fillId="0" borderId="0" xfId="0" applyFont="1" applyAlignment="1">
      <alignment horizontal="center"/>
    </xf>
    <xf numFmtId="0" fontId="34" fillId="3" borderId="0" xfId="0" applyFont="1" applyFill="1" applyBorder="1" applyAlignment="1">
      <alignment horizontal="left" vertical="center" readingOrder="1"/>
    </xf>
    <xf numFmtId="0" fontId="26" fillId="38" borderId="1" xfId="0" applyFont="1" applyFill="1" applyBorder="1" applyAlignment="1">
      <alignment horizontal="center" vertical="center" readingOrder="1"/>
    </xf>
    <xf numFmtId="0" fontId="31" fillId="3" borderId="1" xfId="0" applyFont="1" applyFill="1" applyBorder="1" applyAlignment="1">
      <alignment horizontal="center" vertical="center" readingOrder="1"/>
    </xf>
    <xf numFmtId="0" fontId="0" fillId="0" borderId="0" xfId="0" applyFont="1" applyFill="1"/>
    <xf numFmtId="0" fontId="34" fillId="0" borderId="0" xfId="0" applyFont="1" applyFill="1" applyBorder="1" applyAlignment="1">
      <alignment horizontal="left" vertical="center" readingOrder="1"/>
    </xf>
    <xf numFmtId="0" fontId="21" fillId="0" borderId="1" xfId="0" applyFont="1" applyBorder="1" applyAlignment="1">
      <alignment horizontal="center"/>
    </xf>
    <xf numFmtId="14" fontId="21" fillId="0" borderId="0" xfId="0" applyNumberFormat="1" applyFont="1"/>
    <xf numFmtId="0" fontId="21" fillId="0" borderId="25" xfId="0" applyFont="1" applyBorder="1" applyAlignment="1">
      <alignment horizontal="center"/>
    </xf>
    <xf numFmtId="0" fontId="31" fillId="0" borderId="0" xfId="0" applyFont="1" applyAlignment="1">
      <alignment horizontal="center"/>
    </xf>
    <xf numFmtId="0" fontId="31" fillId="0" borderId="25" xfId="0" applyFont="1" applyBorder="1" applyAlignment="1">
      <alignment horizontal="center"/>
    </xf>
    <xf numFmtId="1" fontId="21" fillId="0" borderId="0" xfId="0" applyNumberFormat="1" applyFont="1" applyAlignment="1">
      <alignment horizontal="center"/>
    </xf>
    <xf numFmtId="1" fontId="21" fillId="0" borderId="25" xfId="0" applyNumberFormat="1" applyFont="1" applyBorder="1" applyAlignment="1">
      <alignment horizontal="center"/>
    </xf>
    <xf numFmtId="1" fontId="21" fillId="0" borderId="1" xfId="0" applyNumberFormat="1" applyFont="1" applyBorder="1" applyAlignment="1">
      <alignment horizontal="center"/>
    </xf>
    <xf numFmtId="0" fontId="32" fillId="0" borderId="0" xfId="0" applyFont="1"/>
    <xf numFmtId="0" fontId="32" fillId="0" borderId="0" xfId="0" applyFont="1" applyBorder="1"/>
    <xf numFmtId="166" fontId="31" fillId="3" borderId="1" xfId="2" applyNumberFormat="1" applyFont="1" applyFill="1" applyBorder="1" applyAlignment="1">
      <alignment horizontal="center" vertical="center" wrapText="1" readingOrder="1"/>
    </xf>
    <xf numFmtId="166" fontId="31" fillId="0" borderId="1" xfId="2" applyNumberFormat="1" applyFont="1" applyBorder="1" applyAlignment="1">
      <alignment horizontal="center" vertical="center"/>
    </xf>
    <xf numFmtId="0" fontId="30" fillId="0" borderId="1" xfId="0" applyFont="1" applyFill="1" applyBorder="1" applyAlignment="1">
      <alignment horizontal="center" vertical="center" wrapText="1" readingOrder="1"/>
    </xf>
    <xf numFmtId="0" fontId="21" fillId="0" borderId="1" xfId="0" applyFont="1" applyFill="1" applyBorder="1" applyAlignment="1">
      <alignment horizontal="center" vertical="center" wrapText="1"/>
    </xf>
    <xf numFmtId="166" fontId="31" fillId="0" borderId="1" xfId="2" applyNumberFormat="1" applyFont="1" applyFill="1" applyBorder="1" applyAlignment="1">
      <alignment horizontal="center" vertical="center"/>
    </xf>
    <xf numFmtId="0" fontId="21" fillId="0" borderId="0" xfId="0" applyFont="1" applyAlignment="1">
      <alignment horizontal="center" vertical="center"/>
    </xf>
    <xf numFmtId="0" fontId="29" fillId="0" borderId="0" xfId="0" applyFont="1"/>
    <xf numFmtId="166" fontId="20" fillId="3" borderId="1" xfId="2" applyNumberFormat="1" applyFont="1" applyFill="1" applyBorder="1" applyAlignment="1">
      <alignment horizontal="center" vertical="center" wrapText="1" readingOrder="1"/>
    </xf>
    <xf numFmtId="2" fontId="21" fillId="0" borderId="1" xfId="0" applyNumberFormat="1" applyFont="1" applyBorder="1" applyAlignment="1">
      <alignment horizontal="center"/>
    </xf>
    <xf numFmtId="1" fontId="21" fillId="0" borderId="0" xfId="0" applyNumberFormat="1" applyFont="1" applyBorder="1" applyAlignment="1">
      <alignment horizontal="center"/>
    </xf>
    <xf numFmtId="166" fontId="21" fillId="0" borderId="0" xfId="2" applyNumberFormat="1" applyFont="1" applyBorder="1" applyAlignment="1">
      <alignment horizontal="center"/>
    </xf>
    <xf numFmtId="0" fontId="32" fillId="0" borderId="0" xfId="0" applyFont="1" applyFill="1" applyBorder="1" applyAlignment="1">
      <alignment horizontal="left"/>
    </xf>
    <xf numFmtId="0" fontId="35" fillId="41" borderId="1" xfId="0" applyFont="1" applyFill="1" applyBorder="1" applyAlignment="1">
      <alignment horizontal="center" vertical="center" wrapText="1" readingOrder="1"/>
    </xf>
    <xf numFmtId="16" fontId="35" fillId="41" borderId="1" xfId="0" applyNumberFormat="1" applyFont="1" applyFill="1" applyBorder="1" applyAlignment="1">
      <alignment horizontal="center" vertical="center" wrapText="1" readingOrder="1"/>
    </xf>
    <xf numFmtId="166" fontId="30" fillId="3" borderId="1" xfId="2" applyNumberFormat="1" applyFont="1" applyFill="1" applyBorder="1" applyAlignment="1">
      <alignment horizontal="center" wrapText="1" readingOrder="1"/>
    </xf>
    <xf numFmtId="166" fontId="30" fillId="3" borderId="1" xfId="2" applyNumberFormat="1" applyFont="1" applyFill="1" applyBorder="1" applyAlignment="1">
      <alignment horizontal="center" vertical="center" wrapText="1" readingOrder="1"/>
    </xf>
    <xf numFmtId="166" fontId="30" fillId="0" borderId="1" xfId="2" applyNumberFormat="1" applyFont="1" applyFill="1" applyBorder="1" applyAlignment="1">
      <alignment horizontal="center" wrapText="1" readingOrder="1"/>
    </xf>
    <xf numFmtId="166" fontId="30" fillId="0" borderId="1" xfId="2" applyNumberFormat="1" applyFont="1" applyFill="1" applyBorder="1" applyAlignment="1">
      <alignment horizontal="center" vertical="center" wrapText="1" readingOrder="1"/>
    </xf>
    <xf numFmtId="43" fontId="21" fillId="0" borderId="0" xfId="0" applyNumberFormat="1" applyFont="1" applyFill="1"/>
    <xf numFmtId="166" fontId="33" fillId="3" borderId="1" xfId="2" applyNumberFormat="1" applyFont="1" applyFill="1" applyBorder="1" applyAlignment="1">
      <alignment horizontal="center" wrapText="1" readingOrder="1"/>
    </xf>
    <xf numFmtId="166" fontId="20" fillId="3" borderId="0" xfId="2" applyNumberFormat="1" applyFont="1" applyFill="1" applyBorder="1" applyAlignment="1">
      <alignment horizontal="center" vertical="center" wrapText="1" readingOrder="1"/>
    </xf>
    <xf numFmtId="0" fontId="0" fillId="0" borderId="1" xfId="0" applyBorder="1"/>
    <xf numFmtId="0" fontId="33" fillId="42" borderId="1" xfId="0" applyFont="1" applyFill="1" applyBorder="1" applyAlignment="1">
      <alignment horizontal="center" vertical="center" wrapText="1"/>
    </xf>
    <xf numFmtId="0" fontId="36" fillId="0" borderId="0" xfId="0" applyFont="1"/>
    <xf numFmtId="166" fontId="31" fillId="0" borderId="0" xfId="2" applyNumberFormat="1" applyFont="1" applyAlignment="1">
      <alignment horizontal="center" vertical="center"/>
    </xf>
    <xf numFmtId="166" fontId="21" fillId="0" borderId="0" xfId="2" applyNumberFormat="1" applyFont="1" applyAlignment="1">
      <alignment horizontal="center" vertical="center"/>
    </xf>
    <xf numFmtId="166" fontId="21" fillId="3" borderId="1" xfId="2" applyNumberFormat="1" applyFont="1" applyFill="1" applyBorder="1" applyAlignment="1">
      <alignment horizontal="center" wrapText="1"/>
    </xf>
    <xf numFmtId="166" fontId="0" fillId="0" borderId="1" xfId="2" applyNumberFormat="1" applyFont="1" applyBorder="1" applyAlignment="1">
      <alignment horizontal="center" vertical="center"/>
    </xf>
    <xf numFmtId="0" fontId="0" fillId="0" borderId="0" xfId="0" applyFont="1" applyBorder="1" applyAlignment="1">
      <alignment horizontal="center" vertical="center"/>
    </xf>
    <xf numFmtId="166" fontId="0" fillId="0" borderId="0" xfId="2" applyNumberFormat="1" applyFont="1" applyBorder="1" applyAlignment="1">
      <alignment horizontal="center" vertical="center"/>
    </xf>
    <xf numFmtId="0" fontId="26" fillId="38" borderId="0" xfId="0" applyFont="1" applyFill="1" applyBorder="1"/>
    <xf numFmtId="0" fontId="26" fillId="0" borderId="0" xfId="0" applyFont="1" applyFill="1" applyBorder="1"/>
    <xf numFmtId="0" fontId="20" fillId="0" borderId="0" xfId="0" applyFont="1" applyFill="1" applyBorder="1"/>
    <xf numFmtId="0" fontId="21" fillId="3" borderId="0" xfId="0" applyFont="1" applyFill="1" applyBorder="1"/>
    <xf numFmtId="9" fontId="21" fillId="0" borderId="0" xfId="1" applyFont="1" applyBorder="1"/>
    <xf numFmtId="0" fontId="29" fillId="3" borderId="0" xfId="0" applyFont="1" applyFill="1" applyBorder="1"/>
    <xf numFmtId="0" fontId="26" fillId="38" borderId="1" xfId="0" applyFont="1" applyFill="1" applyBorder="1"/>
    <xf numFmtId="0" fontId="28" fillId="38" borderId="1" xfId="0" applyFont="1" applyFill="1" applyBorder="1"/>
    <xf numFmtId="9" fontId="21" fillId="0" borderId="1" xfId="1" applyFont="1" applyBorder="1" applyAlignment="1">
      <alignment horizontal="center" vertical="center"/>
    </xf>
    <xf numFmtId="166" fontId="21" fillId="3" borderId="9" xfId="2" applyNumberFormat="1" applyFont="1" applyFill="1" applyBorder="1" applyAlignment="1">
      <alignment horizontal="center" vertical="center"/>
    </xf>
    <xf numFmtId="0" fontId="29" fillId="42" borderId="5" xfId="0" applyFont="1" applyFill="1" applyBorder="1" applyAlignment="1">
      <alignment horizontal="center" vertical="center"/>
    </xf>
    <xf numFmtId="9" fontId="1" fillId="0" borderId="9" xfId="1" applyBorder="1" applyAlignment="1">
      <alignment horizontal="center" vertical="center"/>
    </xf>
    <xf numFmtId="0" fontId="21" fillId="3" borderId="7" xfId="0" applyFont="1" applyFill="1" applyBorder="1" applyAlignment="1">
      <alignment horizontal="center" vertical="center"/>
    </xf>
    <xf numFmtId="1" fontId="0" fillId="0" borderId="5" xfId="0" applyNumberFormat="1" applyBorder="1"/>
    <xf numFmtId="1" fontId="0" fillId="0" borderId="7" xfId="0" applyNumberFormat="1" applyBorder="1"/>
    <xf numFmtId="0" fontId="0" fillId="0" borderId="1" xfId="0" applyBorder="1" applyAlignment="1">
      <alignment horizontal="left"/>
    </xf>
    <xf numFmtId="0" fontId="0" fillId="0" borderId="4" xfId="0" applyBorder="1" applyAlignment="1">
      <alignment horizontal="left"/>
    </xf>
    <xf numFmtId="0" fontId="0" fillId="0" borderId="9" xfId="0" applyBorder="1" applyAlignment="1">
      <alignment horizontal="left"/>
    </xf>
    <xf numFmtId="0" fontId="0" fillId="0" borderId="32" xfId="0" applyBorder="1" applyAlignment="1">
      <alignment horizontal="left"/>
    </xf>
    <xf numFmtId="0" fontId="0" fillId="0" borderId="6" xfId="0" applyBorder="1" applyAlignment="1">
      <alignment horizontal="left"/>
    </xf>
    <xf numFmtId="0" fontId="3" fillId="0" borderId="33" xfId="0" applyFont="1" applyBorder="1" applyAlignment="1">
      <alignment horizontal="center"/>
    </xf>
    <xf numFmtId="166" fontId="0" fillId="0" borderId="34" xfId="2" applyNumberFormat="1" applyFont="1" applyBorder="1" applyAlignment="1">
      <alignment horizontal="center"/>
    </xf>
    <xf numFmtId="0" fontId="0" fillId="0" borderId="0" xfId="0"/>
    <xf numFmtId="0" fontId="3" fillId="0" borderId="35" xfId="0" applyFont="1" applyBorder="1" applyAlignment="1">
      <alignment horizontal="center"/>
    </xf>
    <xf numFmtId="1" fontId="21" fillId="3" borderId="9" xfId="0" applyNumberFormat="1" applyFont="1" applyFill="1" applyBorder="1" applyAlignment="1">
      <alignment horizontal="center" vertical="center"/>
    </xf>
    <xf numFmtId="0" fontId="0" fillId="0" borderId="9" xfId="0" applyBorder="1"/>
    <xf numFmtId="1" fontId="21" fillId="3" borderId="1" xfId="0" applyNumberFormat="1" applyFont="1" applyFill="1" applyBorder="1" applyAlignment="1">
      <alignment horizontal="center" vertical="center"/>
    </xf>
    <xf numFmtId="0" fontId="39" fillId="0" borderId="1" xfId="0" applyFont="1" applyBorder="1" applyAlignment="1">
      <alignment horizontal="left"/>
    </xf>
    <xf numFmtId="14" fontId="23" fillId="42" borderId="6" xfId="0" applyNumberFormat="1" applyFont="1" applyFill="1" applyBorder="1" applyAlignment="1">
      <alignment horizontal="center" vertical="center"/>
    </xf>
    <xf numFmtId="14" fontId="23" fillId="42" borderId="4" xfId="0" applyNumberFormat="1" applyFont="1" applyFill="1" applyBorder="1" applyAlignment="1">
      <alignment horizontal="center" vertical="center"/>
    </xf>
    <xf numFmtId="14" fontId="23" fillId="42" borderId="1" xfId="0" applyNumberFormat="1" applyFont="1" applyFill="1" applyBorder="1" applyAlignment="1">
      <alignment horizontal="center" vertical="center"/>
    </xf>
    <xf numFmtId="0" fontId="20" fillId="0" borderId="1" xfId="0" applyFont="1" applyFill="1" applyBorder="1" applyAlignment="1">
      <alignment horizontal="center" vertical="center"/>
    </xf>
    <xf numFmtId="1" fontId="20" fillId="0" borderId="1" xfId="0" applyNumberFormat="1" applyFont="1" applyFill="1" applyBorder="1" applyAlignment="1">
      <alignment horizontal="center" vertical="center"/>
    </xf>
    <xf numFmtId="9" fontId="21" fillId="0" borderId="9" xfId="1" applyFont="1" applyBorder="1" applyAlignment="1">
      <alignment horizontal="center" vertical="center"/>
    </xf>
    <xf numFmtId="166" fontId="21" fillId="0" borderId="9" xfId="2" applyNumberFormat="1" applyFont="1" applyBorder="1" applyAlignment="1">
      <alignment horizontal="center" vertical="center"/>
    </xf>
    <xf numFmtId="166" fontId="21" fillId="0" borderId="1" xfId="2" applyNumberFormat="1" applyFont="1" applyBorder="1" applyAlignment="1">
      <alignment horizontal="center" vertical="center"/>
    </xf>
    <xf numFmtId="166" fontId="21" fillId="0" borderId="9" xfId="1" applyNumberFormat="1" applyFont="1" applyBorder="1" applyAlignment="1">
      <alignment horizontal="center" vertical="center"/>
    </xf>
    <xf numFmtId="166" fontId="21" fillId="0" borderId="7" xfId="1" applyNumberFormat="1" applyFont="1" applyBorder="1" applyAlignment="1">
      <alignment horizontal="center" vertical="center"/>
    </xf>
    <xf numFmtId="9" fontId="21" fillId="0" borderId="1" xfId="1" quotePrefix="1" applyFont="1" applyBorder="1" applyAlignment="1">
      <alignment horizontal="center" vertical="center"/>
    </xf>
    <xf numFmtId="1" fontId="21" fillId="3" borderId="0" xfId="0" applyNumberFormat="1" applyFont="1" applyFill="1" applyBorder="1" applyAlignment="1">
      <alignment horizontal="center" vertical="center"/>
    </xf>
    <xf numFmtId="9" fontId="21" fillId="0" borderId="0" xfId="1" applyFont="1" applyBorder="1" applyAlignment="1">
      <alignment horizontal="center" vertical="center"/>
    </xf>
    <xf numFmtId="166" fontId="21" fillId="0" borderId="0" xfId="2" applyNumberFormat="1" applyFont="1" applyBorder="1" applyAlignment="1">
      <alignment horizontal="center" vertical="center"/>
    </xf>
    <xf numFmtId="14" fontId="23" fillId="0" borderId="0" xfId="0" applyNumberFormat="1" applyFont="1" applyFill="1" applyBorder="1" applyAlignment="1">
      <alignment horizontal="center" vertical="center"/>
    </xf>
    <xf numFmtId="166" fontId="21" fillId="3" borderId="0" xfId="0" applyNumberFormat="1" applyFont="1" applyFill="1" applyBorder="1"/>
    <xf numFmtId="0" fontId="23" fillId="42" borderId="2" xfId="0" applyFont="1" applyFill="1" applyBorder="1" applyAlignment="1">
      <alignment horizontal="center" vertical="center"/>
    </xf>
    <xf numFmtId="0" fontId="23" fillId="42" borderId="1" xfId="0" applyFont="1" applyFill="1" applyBorder="1" applyAlignment="1">
      <alignment horizontal="center" vertical="center"/>
    </xf>
    <xf numFmtId="43" fontId="21" fillId="3" borderId="0" xfId="0" applyNumberFormat="1" applyFont="1" applyFill="1" applyBorder="1"/>
    <xf numFmtId="166" fontId="21" fillId="3" borderId="0" xfId="2" applyNumberFormat="1" applyFont="1" applyFill="1" applyBorder="1"/>
    <xf numFmtId="0" fontId="29" fillId="3" borderId="0" xfId="0" applyFont="1" applyFill="1" applyBorder="1" applyAlignment="1">
      <alignment horizontal="center" vertical="center"/>
    </xf>
    <xf numFmtId="166" fontId="21" fillId="3" borderId="0" xfId="2" applyNumberFormat="1" applyFont="1" applyFill="1" applyBorder="1" applyAlignment="1">
      <alignment horizontal="center" vertical="center"/>
    </xf>
    <xf numFmtId="166" fontId="21" fillId="3" borderId="1" xfId="2" applyNumberFormat="1" applyFont="1" applyFill="1" applyBorder="1" applyAlignment="1">
      <alignment horizontal="center" vertical="center"/>
    </xf>
    <xf numFmtId="166" fontId="21" fillId="3" borderId="1" xfId="2" applyNumberFormat="1" applyFont="1" applyFill="1" applyBorder="1"/>
    <xf numFmtId="166" fontId="21" fillId="3" borderId="5" xfId="2" applyNumberFormat="1" applyFont="1" applyFill="1" applyBorder="1"/>
    <xf numFmtId="166" fontId="21" fillId="3" borderId="1" xfId="2" applyNumberFormat="1" applyFont="1" applyFill="1" applyBorder="1" applyAlignment="1">
      <alignment horizontal="center"/>
    </xf>
    <xf numFmtId="0" fontId="29" fillId="42" borderId="6" xfId="0" applyFont="1" applyFill="1" applyBorder="1" applyAlignment="1">
      <alignment horizontal="center" vertical="center"/>
    </xf>
    <xf numFmtId="0" fontId="23" fillId="42" borderId="5" xfId="0" applyFont="1" applyFill="1" applyBorder="1" applyAlignment="1">
      <alignment horizontal="center" vertical="center"/>
    </xf>
    <xf numFmtId="166" fontId="21" fillId="0" borderId="7" xfId="2" applyNumberFormat="1" applyFont="1" applyBorder="1" applyAlignment="1">
      <alignment horizontal="center" vertical="center"/>
    </xf>
    <xf numFmtId="9" fontId="21" fillId="0" borderId="5" xfId="1" quotePrefix="1" applyFont="1" applyBorder="1" applyAlignment="1">
      <alignment horizontal="center" vertical="center"/>
    </xf>
    <xf numFmtId="9" fontId="21" fillId="0" borderId="9" xfId="1" quotePrefix="1" applyFont="1" applyBorder="1" applyAlignment="1">
      <alignment horizontal="center" vertical="center"/>
    </xf>
    <xf numFmtId="9" fontId="21" fillId="0" borderId="7" xfId="1" quotePrefix="1" applyFont="1" applyBorder="1" applyAlignment="1">
      <alignment horizontal="center" vertical="center"/>
    </xf>
    <xf numFmtId="0" fontId="31" fillId="3" borderId="0" xfId="0" applyFont="1" applyFill="1"/>
    <xf numFmtId="0" fontId="21" fillId="3" borderId="0" xfId="0" applyFont="1" applyFill="1"/>
    <xf numFmtId="2" fontId="31" fillId="3" borderId="0" xfId="0" applyNumberFormat="1" applyFont="1" applyFill="1"/>
    <xf numFmtId="0" fontId="21" fillId="3" borderId="37" xfId="0" applyFont="1" applyFill="1" applyBorder="1"/>
    <xf numFmtId="0" fontId="41" fillId="3" borderId="0" xfId="0" applyFont="1" applyFill="1" applyBorder="1"/>
    <xf numFmtId="0" fontId="31" fillId="0" borderId="0" xfId="0" applyFont="1"/>
    <xf numFmtId="0" fontId="16" fillId="0" borderId="4" xfId="0" applyFont="1" applyBorder="1" applyAlignment="1">
      <alignment horizontal="left"/>
    </xf>
    <xf numFmtId="0" fontId="33" fillId="42" borderId="8" xfId="0" applyFont="1" applyFill="1" applyBorder="1" applyAlignment="1">
      <alignment horizontal="center" vertical="center" wrapText="1"/>
    </xf>
    <xf numFmtId="0" fontId="33" fillId="42" borderId="3" xfId="0" applyFont="1" applyFill="1" applyBorder="1" applyAlignment="1">
      <alignment horizontal="center" vertical="center" wrapText="1"/>
    </xf>
    <xf numFmtId="0" fontId="33" fillId="42" borderId="6" xfId="0" applyFont="1" applyFill="1" applyBorder="1" applyAlignment="1">
      <alignment horizontal="center" vertical="center" wrapText="1"/>
    </xf>
    <xf numFmtId="0" fontId="21" fillId="0" borderId="9" xfId="0" applyFont="1" applyBorder="1" applyAlignment="1">
      <alignment horizontal="center" vertical="center" wrapText="1"/>
    </xf>
    <xf numFmtId="0" fontId="21" fillId="0" borderId="7" xfId="0" applyFont="1" applyBorder="1" applyAlignment="1">
      <alignment horizontal="center" vertical="center" wrapText="1"/>
    </xf>
    <xf numFmtId="166" fontId="21" fillId="3" borderId="1" xfId="0" applyNumberFormat="1" applyFont="1" applyFill="1" applyBorder="1" applyAlignment="1">
      <alignment horizontal="center" vertical="center"/>
    </xf>
    <xf numFmtId="0" fontId="21" fillId="3" borderId="5" xfId="0" applyFont="1" applyFill="1" applyBorder="1" applyAlignment="1">
      <alignment horizontal="center" vertical="center" wrapText="1"/>
    </xf>
    <xf numFmtId="166" fontId="21" fillId="3" borderId="5" xfId="0" applyNumberFormat="1" applyFont="1" applyFill="1" applyBorder="1" applyAlignment="1">
      <alignment horizontal="center" vertical="center"/>
    </xf>
    <xf numFmtId="0" fontId="29" fillId="42" borderId="9" xfId="0" applyFont="1" applyFill="1" applyBorder="1" applyAlignment="1">
      <alignment horizontal="center" vertical="center" wrapText="1"/>
    </xf>
    <xf numFmtId="166" fontId="21" fillId="3" borderId="9" xfId="0" applyNumberFormat="1" applyFont="1" applyFill="1" applyBorder="1" applyAlignment="1">
      <alignment horizontal="center" vertical="center"/>
    </xf>
    <xf numFmtId="166" fontId="21" fillId="3" borderId="7" xfId="0" applyNumberFormat="1" applyFont="1" applyFill="1" applyBorder="1" applyAlignment="1">
      <alignment horizontal="center" vertical="center"/>
    </xf>
    <xf numFmtId="166" fontId="29" fillId="3" borderId="39" xfId="0" applyNumberFormat="1" applyFont="1" applyFill="1" applyBorder="1"/>
    <xf numFmtId="166" fontId="29" fillId="3" borderId="40" xfId="0" applyNumberFormat="1" applyFont="1" applyFill="1" applyBorder="1"/>
    <xf numFmtId="0" fontId="23" fillId="42" borderId="1" xfId="0" applyFont="1" applyFill="1" applyBorder="1" applyAlignment="1">
      <alignment horizontal="center" vertical="center"/>
    </xf>
    <xf numFmtId="0" fontId="29" fillId="3" borderId="4" xfId="0" applyFont="1" applyFill="1" applyBorder="1" applyAlignment="1">
      <alignment horizontal="center" vertical="center"/>
    </xf>
    <xf numFmtId="0" fontId="29" fillId="3" borderId="1" xfId="0" applyFont="1" applyFill="1" applyBorder="1" applyAlignment="1">
      <alignment horizontal="center" vertical="center"/>
    </xf>
    <xf numFmtId="0" fontId="29" fillId="42" borderId="4" xfId="0" applyFont="1" applyFill="1" applyBorder="1" applyAlignment="1">
      <alignment horizontal="center" vertical="center"/>
    </xf>
    <xf numFmtId="0" fontId="29" fillId="42" borderId="1" xfId="0" applyFont="1" applyFill="1" applyBorder="1" applyAlignment="1">
      <alignment horizontal="center" vertical="center"/>
    </xf>
    <xf numFmtId="0" fontId="29" fillId="42" borderId="1" xfId="0" applyFont="1" applyFill="1" applyBorder="1" applyAlignment="1">
      <alignment horizontal="center" vertical="center" wrapText="1"/>
    </xf>
    <xf numFmtId="0" fontId="26" fillId="0" borderId="0" xfId="0" applyFont="1" applyFill="1" applyBorder="1" applyAlignment="1">
      <alignment horizontal="center" vertical="center"/>
    </xf>
    <xf numFmtId="0" fontId="21" fillId="3" borderId="0" xfId="0" applyFont="1" applyFill="1" applyBorder="1" applyAlignment="1">
      <alignment horizontal="center" vertical="center"/>
    </xf>
    <xf numFmtId="0" fontId="0" fillId="0" borderId="0" xfId="0" applyAlignment="1">
      <alignment horizontal="center" vertical="center"/>
    </xf>
    <xf numFmtId="0" fontId="21" fillId="3" borderId="37" xfId="0" applyFont="1" applyFill="1" applyBorder="1" applyAlignment="1">
      <alignment horizontal="center" vertical="center"/>
    </xf>
    <xf numFmtId="0" fontId="31" fillId="3" borderId="0" xfId="0" applyFont="1" applyFill="1" applyBorder="1"/>
    <xf numFmtId="0" fontId="21" fillId="0" borderId="5" xfId="0" applyFont="1" applyBorder="1" applyAlignment="1">
      <alignment horizontal="center"/>
    </xf>
    <xf numFmtId="0" fontId="16" fillId="0" borderId="1" xfId="0" applyFont="1" applyBorder="1" applyAlignment="1">
      <alignment horizontal="left"/>
    </xf>
    <xf numFmtId="0" fontId="16" fillId="0" borderId="32" xfId="0" applyFont="1" applyBorder="1" applyAlignment="1">
      <alignment horizontal="left"/>
    </xf>
    <xf numFmtId="1" fontId="16" fillId="0" borderId="5" xfId="0" applyNumberFormat="1" applyFont="1" applyBorder="1"/>
    <xf numFmtId="0" fontId="0" fillId="0" borderId="43" xfId="0" applyBorder="1" applyAlignment="1">
      <alignment horizontal="left"/>
    </xf>
    <xf numFmtId="0" fontId="16" fillId="0" borderId="1" xfId="0" applyFont="1" applyBorder="1"/>
    <xf numFmtId="166" fontId="16" fillId="0" borderId="5" xfId="2" applyNumberFormat="1" applyFont="1" applyBorder="1" applyAlignment="1">
      <alignment horizontal="center"/>
    </xf>
    <xf numFmtId="0" fontId="23" fillId="42" borderId="4" xfId="0" applyFont="1" applyFill="1" applyBorder="1" applyAlignment="1">
      <alignment horizontal="center" vertical="center"/>
    </xf>
    <xf numFmtId="0" fontId="23" fillId="42" borderId="1" xfId="0" applyFont="1" applyFill="1" applyBorder="1" applyAlignment="1">
      <alignment horizontal="center" vertical="center"/>
    </xf>
    <xf numFmtId="0" fontId="29" fillId="42" borderId="4" xfId="0" applyFont="1" applyFill="1" applyBorder="1" applyAlignment="1">
      <alignment horizontal="center" vertical="center"/>
    </xf>
    <xf numFmtId="166" fontId="0" fillId="0" borderId="0" xfId="2" applyNumberFormat="1" applyFont="1"/>
    <xf numFmtId="166" fontId="21" fillId="0" borderId="1" xfId="1" applyNumberFormat="1" applyFont="1" applyBorder="1"/>
    <xf numFmtId="0" fontId="3" fillId="0" borderId="0" xfId="0" applyFont="1" applyBorder="1" applyAlignment="1">
      <alignment horizontal="center"/>
    </xf>
    <xf numFmtId="0" fontId="0" fillId="0" borderId="33" xfId="0" applyBorder="1"/>
    <xf numFmtId="166" fontId="0" fillId="0" borderId="34" xfId="2" applyNumberFormat="1" applyFont="1" applyBorder="1"/>
    <xf numFmtId="166" fontId="21" fillId="0" borderId="1" xfId="2" quotePrefix="1" applyNumberFormat="1" applyFont="1" applyBorder="1" applyAlignment="1">
      <alignment horizontal="center" vertical="center"/>
    </xf>
    <xf numFmtId="0" fontId="31" fillId="3" borderId="37" xfId="0" applyFont="1" applyFill="1" applyBorder="1"/>
    <xf numFmtId="9" fontId="31" fillId="0" borderId="1" xfId="1" applyFont="1" applyBorder="1" applyAlignment="1">
      <alignment horizontal="center" vertical="center"/>
    </xf>
    <xf numFmtId="14" fontId="40" fillId="42" borderId="4" xfId="0" applyNumberFormat="1" applyFont="1" applyFill="1" applyBorder="1" applyAlignment="1">
      <alignment horizontal="center" vertical="center"/>
    </xf>
    <xf numFmtId="166" fontId="31" fillId="0" borderId="1" xfId="2" quotePrefix="1" applyNumberFormat="1" applyFont="1" applyBorder="1" applyAlignment="1">
      <alignment horizontal="center" vertical="center"/>
    </xf>
    <xf numFmtId="1" fontId="31" fillId="3" borderId="1" xfId="0" applyNumberFormat="1" applyFont="1" applyFill="1" applyBorder="1" applyAlignment="1">
      <alignment horizontal="center" vertical="center"/>
    </xf>
    <xf numFmtId="0" fontId="0" fillId="0" borderId="35" xfId="0" applyBorder="1"/>
    <xf numFmtId="166" fontId="31" fillId="3" borderId="0" xfId="0" applyNumberFormat="1" applyFont="1" applyFill="1" applyBorder="1"/>
    <xf numFmtId="0" fontId="40" fillId="42" borderId="4" xfId="0" applyFont="1" applyFill="1" applyBorder="1" applyAlignment="1">
      <alignment horizontal="center" vertical="center"/>
    </xf>
    <xf numFmtId="166" fontId="0" fillId="0" borderId="5" xfId="2" applyNumberFormat="1" applyFont="1" applyBorder="1"/>
    <xf numFmtId="166" fontId="16" fillId="0" borderId="5" xfId="2" applyNumberFormat="1" applyFont="1" applyBorder="1"/>
    <xf numFmtId="0" fontId="23" fillId="42" borderId="1" xfId="0" applyFont="1" applyFill="1" applyBorder="1" applyAlignment="1">
      <alignment horizontal="center" vertical="center"/>
    </xf>
    <xf numFmtId="0" fontId="29" fillId="42" borderId="1" xfId="0" applyFont="1" applyFill="1" applyBorder="1" applyAlignment="1">
      <alignment horizontal="center" vertical="center" wrapText="1"/>
    </xf>
    <xf numFmtId="0" fontId="29" fillId="42" borderId="4" xfId="0" applyFont="1" applyFill="1" applyBorder="1" applyAlignment="1">
      <alignment horizontal="center" vertical="center"/>
    </xf>
    <xf numFmtId="0" fontId="29" fillId="42" borderId="1" xfId="0" applyFont="1" applyFill="1" applyBorder="1" applyAlignment="1">
      <alignment horizontal="center" vertical="center"/>
    </xf>
    <xf numFmtId="0" fontId="20" fillId="3" borderId="0" xfId="0" applyFont="1" applyFill="1" applyBorder="1"/>
    <xf numFmtId="0" fontId="23" fillId="42" borderId="4" xfId="0" applyFont="1" applyFill="1" applyBorder="1" applyAlignment="1">
      <alignment horizontal="center" vertical="center" wrapText="1"/>
    </xf>
    <xf numFmtId="0" fontId="20" fillId="3" borderId="1" xfId="0" applyFont="1" applyFill="1" applyBorder="1" applyAlignment="1">
      <alignment horizontal="center" vertical="center"/>
    </xf>
    <xf numFmtId="9" fontId="20" fillId="0" borderId="1" xfId="1" applyFont="1" applyBorder="1" applyAlignment="1">
      <alignment horizontal="center" vertical="center"/>
    </xf>
    <xf numFmtId="9" fontId="20" fillId="0" borderId="5" xfId="1" applyFont="1" applyBorder="1" applyAlignment="1">
      <alignment horizontal="center" vertical="center"/>
    </xf>
    <xf numFmtId="0" fontId="23" fillId="42" borderId="1" xfId="0" applyFont="1" applyFill="1" applyBorder="1" applyAlignment="1">
      <alignment horizontal="center"/>
    </xf>
    <xf numFmtId="0" fontId="20" fillId="3" borderId="1" xfId="0" applyFont="1" applyFill="1" applyBorder="1" applyAlignment="1">
      <alignment horizontal="center"/>
    </xf>
    <xf numFmtId="0" fontId="23" fillId="42" borderId="4" xfId="0" applyFont="1" applyFill="1" applyBorder="1" applyAlignment="1">
      <alignment horizontal="center"/>
    </xf>
    <xf numFmtId="9" fontId="20" fillId="0" borderId="1" xfId="1" quotePrefix="1" applyFont="1" applyBorder="1" applyAlignment="1">
      <alignment horizontal="center" vertical="center"/>
    </xf>
    <xf numFmtId="9" fontId="20" fillId="0" borderId="5" xfId="1" quotePrefix="1" applyFont="1" applyBorder="1" applyAlignment="1">
      <alignment horizontal="center" vertical="center"/>
    </xf>
    <xf numFmtId="166" fontId="20" fillId="3" borderId="1" xfId="2" applyNumberFormat="1" applyFont="1" applyFill="1" applyBorder="1" applyAlignment="1">
      <alignment horizontal="center"/>
    </xf>
    <xf numFmtId="166" fontId="20" fillId="3" borderId="1" xfId="2" applyNumberFormat="1" applyFont="1" applyFill="1" applyBorder="1" applyAlignment="1">
      <alignment horizontal="center" vertical="center"/>
    </xf>
    <xf numFmtId="166" fontId="20" fillId="3" borderId="9" xfId="2" applyNumberFormat="1" applyFont="1" applyFill="1" applyBorder="1" applyAlignment="1">
      <alignment horizontal="center" vertical="center"/>
    </xf>
    <xf numFmtId="9" fontId="20" fillId="0" borderId="9" xfId="1" quotePrefix="1" applyFont="1" applyBorder="1" applyAlignment="1">
      <alignment horizontal="center" vertical="center"/>
    </xf>
    <xf numFmtId="9" fontId="20" fillId="0" borderId="7" xfId="1" quotePrefix="1" applyFont="1" applyBorder="1" applyAlignment="1">
      <alignment horizontal="center" vertical="center"/>
    </xf>
    <xf numFmtId="0" fontId="23" fillId="3" borderId="0" xfId="0" applyFont="1" applyFill="1" applyBorder="1"/>
    <xf numFmtId="0" fontId="39" fillId="0" borderId="0" xfId="0" applyFont="1"/>
    <xf numFmtId="166" fontId="20" fillId="0" borderId="1" xfId="2" quotePrefix="1" applyNumberFormat="1" applyFont="1" applyBorder="1" applyAlignment="1">
      <alignment horizontal="center" vertical="center"/>
    </xf>
    <xf numFmtId="1" fontId="20" fillId="3" borderId="9" xfId="0" applyNumberFormat="1" applyFont="1" applyFill="1" applyBorder="1" applyAlignment="1">
      <alignment horizontal="center" vertical="center"/>
    </xf>
    <xf numFmtId="9" fontId="42" fillId="0" borderId="9" xfId="1" applyFont="1" applyBorder="1" applyAlignment="1">
      <alignment horizontal="center" vertical="center"/>
    </xf>
    <xf numFmtId="166" fontId="20" fillId="0" borderId="9" xfId="1" applyNumberFormat="1" applyFont="1" applyBorder="1" applyAlignment="1">
      <alignment horizontal="center" vertical="center"/>
    </xf>
    <xf numFmtId="1" fontId="20" fillId="3" borderId="1" xfId="0" applyNumberFormat="1" applyFont="1" applyFill="1" applyBorder="1" applyAlignment="1">
      <alignment horizontal="center" vertical="center"/>
    </xf>
    <xf numFmtId="0" fontId="21" fillId="42" borderId="1" xfId="0" applyFont="1" applyFill="1" applyBorder="1" applyAlignment="1">
      <alignment horizontal="center" vertical="center"/>
    </xf>
    <xf numFmtId="167" fontId="21" fillId="0" borderId="1" xfId="1" applyNumberFormat="1" applyFont="1" applyBorder="1" applyAlignment="1">
      <alignment horizontal="center" vertical="center"/>
    </xf>
    <xf numFmtId="0" fontId="20" fillId="3" borderId="37" xfId="0" applyFont="1" applyFill="1" applyBorder="1"/>
    <xf numFmtId="0" fontId="21" fillId="0" borderId="1" xfId="0" applyFont="1" applyBorder="1" applyAlignment="1">
      <alignment horizontal="center" vertical="center" wrapText="1"/>
    </xf>
    <xf numFmtId="9" fontId="1" fillId="0" borderId="1" xfId="1" applyBorder="1" applyAlignment="1">
      <alignment horizontal="center" vertical="center"/>
    </xf>
    <xf numFmtId="0" fontId="29" fillId="42" borderId="8" xfId="0" applyFont="1" applyFill="1" applyBorder="1" applyAlignment="1">
      <alignment horizontal="center"/>
    </xf>
    <xf numFmtId="0" fontId="29" fillId="42" borderId="3" xfId="0" applyFont="1" applyFill="1" applyBorder="1" applyAlignment="1">
      <alignment horizontal="center"/>
    </xf>
    <xf numFmtId="0" fontId="29" fillId="42" borderId="1" xfId="0" applyFont="1" applyFill="1" applyBorder="1" applyAlignment="1">
      <alignment horizontal="center" vertical="center" wrapText="1"/>
    </xf>
    <xf numFmtId="0" fontId="29" fillId="42" borderId="4" xfId="0" applyFont="1" applyFill="1" applyBorder="1" applyAlignment="1">
      <alignment horizontal="center"/>
    </xf>
    <xf numFmtId="0" fontId="29" fillId="42" borderId="1" xfId="0" applyFont="1" applyFill="1" applyBorder="1" applyAlignment="1">
      <alignment horizontal="center" vertical="center"/>
    </xf>
    <xf numFmtId="0" fontId="23" fillId="42" borderId="1" xfId="0" applyFont="1" applyFill="1" applyBorder="1" applyAlignment="1">
      <alignment horizontal="center" vertical="center"/>
    </xf>
    <xf numFmtId="0" fontId="29" fillId="42" borderId="1" xfId="0" applyFont="1" applyFill="1" applyBorder="1" applyAlignment="1">
      <alignment horizontal="center" vertical="center" wrapText="1"/>
    </xf>
    <xf numFmtId="0" fontId="29" fillId="42" borderId="4" xfId="0" applyFont="1" applyFill="1" applyBorder="1" applyAlignment="1">
      <alignment horizontal="center" vertical="center"/>
    </xf>
    <xf numFmtId="0" fontId="29" fillId="42" borderId="1" xfId="0" applyFont="1" applyFill="1" applyBorder="1" applyAlignment="1">
      <alignment horizontal="center" vertical="center"/>
    </xf>
    <xf numFmtId="0" fontId="29" fillId="42" borderId="2" xfId="0" applyFont="1" applyFill="1" applyBorder="1" applyAlignment="1">
      <alignment horizontal="center"/>
    </xf>
    <xf numFmtId="0" fontId="29" fillId="42" borderId="1" xfId="0" applyFont="1" applyFill="1" applyBorder="1"/>
    <xf numFmtId="166" fontId="21" fillId="0" borderId="1" xfId="2" applyNumberFormat="1" applyFont="1" applyBorder="1"/>
    <xf numFmtId="166" fontId="21" fillId="0" borderId="1" xfId="0" applyNumberFormat="1" applyFont="1" applyBorder="1"/>
    <xf numFmtId="165" fontId="21" fillId="0" borderId="1" xfId="0" applyNumberFormat="1" applyFont="1" applyBorder="1"/>
    <xf numFmtId="0" fontId="45" fillId="0" borderId="1" xfId="0" applyFont="1" applyBorder="1" applyAlignment="1">
      <alignment horizontal="center"/>
    </xf>
    <xf numFmtId="0" fontId="29" fillId="42" borderId="6" xfId="0" applyFont="1" applyFill="1" applyBorder="1" applyAlignment="1">
      <alignment horizontal="center"/>
    </xf>
    <xf numFmtId="1" fontId="21" fillId="0" borderId="9" xfId="1" applyNumberFormat="1" applyFont="1" applyBorder="1" applyAlignment="1">
      <alignment horizontal="center"/>
    </xf>
    <xf numFmtId="0" fontId="21" fillId="0" borderId="9" xfId="0" applyFont="1" applyBorder="1" applyAlignment="1">
      <alignment horizontal="center"/>
    </xf>
    <xf numFmtId="0" fontId="21" fillId="0" borderId="7" xfId="0" quotePrefix="1" applyFont="1" applyBorder="1" applyAlignment="1">
      <alignment horizontal="center"/>
    </xf>
    <xf numFmtId="0" fontId="29" fillId="0" borderId="0" xfId="0" applyFont="1" applyAlignment="1">
      <alignment horizontal="center" vertical="center" wrapText="1"/>
    </xf>
    <xf numFmtId="0" fontId="21" fillId="0" borderId="2" xfId="0" applyFont="1" applyBorder="1" applyAlignment="1">
      <alignment horizontal="center" vertical="center"/>
    </xf>
    <xf numFmtId="0" fontId="21" fillId="0" borderId="8" xfId="0" applyFont="1" applyBorder="1" applyAlignment="1">
      <alignment horizontal="center" vertical="center"/>
    </xf>
    <xf numFmtId="1" fontId="21" fillId="0" borderId="0" xfId="0" applyNumberFormat="1" applyFont="1"/>
    <xf numFmtId="0" fontId="21" fillId="0" borderId="4" xfId="0" applyFont="1" applyBorder="1" applyAlignment="1">
      <alignment horizontal="center" vertical="center"/>
    </xf>
    <xf numFmtId="169" fontId="21" fillId="0" borderId="1" xfId="0" applyNumberFormat="1" applyFont="1" applyBorder="1" applyAlignment="1">
      <alignment horizontal="center" vertical="center"/>
    </xf>
    <xf numFmtId="0" fontId="29" fillId="0" borderId="1" xfId="0" applyFont="1" applyBorder="1"/>
    <xf numFmtId="169" fontId="21" fillId="0" borderId="1" xfId="0" applyNumberFormat="1" applyFont="1" applyBorder="1"/>
    <xf numFmtId="43" fontId="21" fillId="0" borderId="1" xfId="0" applyNumberFormat="1" applyFont="1" applyBorder="1"/>
    <xf numFmtId="0" fontId="21" fillId="0" borderId="6" xfId="0" applyFont="1" applyBorder="1" applyAlignment="1">
      <alignment horizontal="center" vertical="center"/>
    </xf>
    <xf numFmtId="0" fontId="21" fillId="0" borderId="9" xfId="0" applyFont="1" applyBorder="1" applyAlignment="1">
      <alignment horizontal="center" vertical="center"/>
    </xf>
    <xf numFmtId="169" fontId="21" fillId="0" borderId="9" xfId="0" applyNumberFormat="1" applyFont="1" applyBorder="1" applyAlignment="1">
      <alignment horizontal="center" vertical="center"/>
    </xf>
    <xf numFmtId="2" fontId="21" fillId="0" borderId="1" xfId="0" applyNumberFormat="1" applyFont="1" applyBorder="1" applyAlignment="1">
      <alignment horizontal="center" vertical="center"/>
    </xf>
    <xf numFmtId="165" fontId="21" fillId="0" borderId="1" xfId="0" applyNumberFormat="1" applyFont="1" applyBorder="1" applyAlignment="1">
      <alignment horizontal="center" vertical="center"/>
    </xf>
    <xf numFmtId="170" fontId="21" fillId="0" borderId="0" xfId="0" applyNumberFormat="1" applyFont="1"/>
    <xf numFmtId="165" fontId="21" fillId="0" borderId="9" xfId="0" applyNumberFormat="1" applyFont="1" applyBorder="1" applyAlignment="1">
      <alignment horizontal="center" vertical="center"/>
    </xf>
    <xf numFmtId="0" fontId="29" fillId="42" borderId="2" xfId="0" applyFont="1" applyFill="1" applyBorder="1"/>
    <xf numFmtId="0" fontId="29" fillId="42" borderId="8" xfId="0" applyFont="1" applyFill="1" applyBorder="1"/>
    <xf numFmtId="0" fontId="29" fillId="42" borderId="3" xfId="0" applyFont="1" applyFill="1" applyBorder="1"/>
    <xf numFmtId="1" fontId="21" fillId="0" borderId="1" xfId="2" applyNumberFormat="1" applyFont="1" applyBorder="1"/>
    <xf numFmtId="1" fontId="21" fillId="0" borderId="5" xfId="0" applyNumberFormat="1" applyFont="1" applyBorder="1"/>
    <xf numFmtId="166" fontId="21" fillId="0" borderId="4" xfId="2" applyNumberFormat="1" applyFont="1" applyBorder="1"/>
    <xf numFmtId="168" fontId="21" fillId="0" borderId="0" xfId="0" applyNumberFormat="1" applyFont="1"/>
    <xf numFmtId="166" fontId="21" fillId="0" borderId="9" xfId="2" applyNumberFormat="1" applyFont="1" applyBorder="1"/>
    <xf numFmtId="0" fontId="21" fillId="0" borderId="9" xfId="0" applyFont="1" applyBorder="1"/>
    <xf numFmtId="166" fontId="21" fillId="0" borderId="9" xfId="2" applyNumberFormat="1" applyFont="1" applyBorder="1" applyAlignment="1">
      <alignment horizontal="center"/>
    </xf>
    <xf numFmtId="166" fontId="21" fillId="0" borderId="9" xfId="0" applyNumberFormat="1" applyFont="1" applyBorder="1"/>
    <xf numFmtId="1" fontId="21" fillId="0" borderId="9" xfId="2" applyNumberFormat="1" applyFont="1" applyBorder="1"/>
    <xf numFmtId="1" fontId="21" fillId="0" borderId="7" xfId="0" applyNumberFormat="1" applyFont="1" applyBorder="1"/>
    <xf numFmtId="166" fontId="21" fillId="0" borderId="0" xfId="2" applyNumberFormat="1" applyFont="1" applyBorder="1"/>
    <xf numFmtId="168" fontId="21" fillId="0" borderId="1" xfId="0" applyNumberFormat="1" applyFont="1" applyBorder="1"/>
    <xf numFmtId="1" fontId="21" fillId="0" borderId="0" xfId="0" applyNumberFormat="1" applyFont="1" applyBorder="1"/>
    <xf numFmtId="169" fontId="21" fillId="0" borderId="0" xfId="0" applyNumberFormat="1" applyFont="1" applyBorder="1"/>
    <xf numFmtId="166" fontId="21" fillId="0" borderId="6" xfId="2" applyNumberFormat="1" applyFont="1" applyBorder="1"/>
    <xf numFmtId="168" fontId="31" fillId="0" borderId="1" xfId="2" applyNumberFormat="1" applyFont="1" applyBorder="1" applyAlignment="1">
      <alignment horizontal="center" vertical="center" wrapText="1"/>
    </xf>
    <xf numFmtId="166" fontId="31" fillId="0" borderId="1" xfId="2" applyNumberFormat="1" applyFont="1" applyBorder="1" applyAlignment="1">
      <alignment horizontal="center" vertical="center" wrapText="1"/>
    </xf>
    <xf numFmtId="43" fontId="21" fillId="0" borderId="1" xfId="2" applyFont="1" applyBorder="1" applyAlignment="1">
      <alignment horizontal="center" vertical="center" wrapText="1"/>
    </xf>
    <xf numFmtId="168" fontId="21" fillId="0" borderId="1" xfId="2" applyNumberFormat="1" applyFont="1" applyBorder="1" applyAlignment="1">
      <alignment horizontal="center" vertical="center" wrapText="1"/>
    </xf>
    <xf numFmtId="166" fontId="21" fillId="0" borderId="1" xfId="2" applyNumberFormat="1" applyFont="1" applyBorder="1" applyAlignment="1">
      <alignment horizontal="center" vertical="center" wrapText="1"/>
    </xf>
    <xf numFmtId="0" fontId="21" fillId="0" borderId="1" xfId="0" applyFont="1" applyBorder="1" applyAlignment="1">
      <alignment horizontal="right" vertical="center" wrapText="1"/>
    </xf>
    <xf numFmtId="11" fontId="21" fillId="0" borderId="0" xfId="0" applyNumberFormat="1" applyFont="1"/>
    <xf numFmtId="166" fontId="29" fillId="0" borderId="0" xfId="2" applyNumberFormat="1" applyFont="1"/>
    <xf numFmtId="0" fontId="29" fillId="0" borderId="0" xfId="0" applyFont="1" applyBorder="1" applyAlignment="1">
      <alignment horizontal="center"/>
    </xf>
    <xf numFmtId="0" fontId="46" fillId="42" borderId="1" xfId="0" applyFont="1" applyFill="1" applyBorder="1" applyAlignment="1">
      <alignment horizontal="center" vertical="center" wrapText="1"/>
    </xf>
    <xf numFmtId="0" fontId="45" fillId="0" borderId="1" xfId="0" applyFont="1" applyBorder="1" applyAlignment="1">
      <alignment horizontal="right"/>
    </xf>
    <xf numFmtId="0" fontId="45" fillId="0" borderId="1" xfId="0" applyFont="1" applyBorder="1" applyAlignment="1">
      <alignment horizontal="center" vertical="center" wrapText="1"/>
    </xf>
    <xf numFmtId="0" fontId="40" fillId="0" borderId="0" xfId="0" applyFont="1"/>
    <xf numFmtId="0" fontId="23" fillId="42" borderId="2" xfId="0" applyFont="1" applyFill="1" applyBorder="1" applyAlignment="1">
      <alignment horizontal="center" vertical="center"/>
    </xf>
    <xf numFmtId="0" fontId="23" fillId="42" borderId="4" xfId="0" applyFont="1" applyFill="1" applyBorder="1" applyAlignment="1">
      <alignment horizontal="center" vertical="center"/>
    </xf>
    <xf numFmtId="0" fontId="23" fillId="42" borderId="1" xfId="0" applyFont="1" applyFill="1" applyBorder="1" applyAlignment="1">
      <alignment horizontal="center" vertical="center"/>
    </xf>
    <xf numFmtId="0" fontId="23" fillId="42" borderId="6" xfId="0" applyFont="1" applyFill="1" applyBorder="1" applyAlignment="1">
      <alignment horizontal="center" vertical="center"/>
    </xf>
    <xf numFmtId="0" fontId="47" fillId="0" borderId="0" xfId="0" applyFont="1"/>
    <xf numFmtId="0" fontId="21" fillId="0" borderId="0" xfId="0" quotePrefix="1" applyFont="1"/>
    <xf numFmtId="0" fontId="48" fillId="0" borderId="0" xfId="0" applyFont="1" applyAlignment="1">
      <alignment horizontal="left" indent="1"/>
    </xf>
    <xf numFmtId="0" fontId="21" fillId="0" borderId="6" xfId="0" applyFont="1" applyFill="1" applyBorder="1"/>
    <xf numFmtId="0" fontId="29" fillId="3" borderId="9" xfId="0" applyFont="1" applyFill="1" applyBorder="1" applyAlignment="1">
      <alignment horizontal="right"/>
    </xf>
    <xf numFmtId="166" fontId="29" fillId="3" borderId="9" xfId="0" applyNumberFormat="1" applyFont="1" applyFill="1" applyBorder="1"/>
    <xf numFmtId="166" fontId="29" fillId="3" borderId="7" xfId="0" applyNumberFormat="1" applyFont="1" applyFill="1" applyBorder="1"/>
    <xf numFmtId="171" fontId="29" fillId="3" borderId="9" xfId="47" applyNumberFormat="1" applyFont="1" applyFill="1" applyBorder="1"/>
    <xf numFmtId="171" fontId="29" fillId="3" borderId="7" xfId="47" applyNumberFormat="1" applyFont="1" applyFill="1" applyBorder="1"/>
    <xf numFmtId="0" fontId="23" fillId="42" borderId="1" xfId="0" applyFont="1" applyFill="1" applyBorder="1" applyAlignment="1">
      <alignment horizontal="center" vertical="center"/>
    </xf>
    <xf numFmtId="0" fontId="23" fillId="42" borderId="2" xfId="0" applyFont="1" applyFill="1" applyBorder="1" applyAlignment="1">
      <alignment horizontal="center" vertical="center"/>
    </xf>
    <xf numFmtId="166" fontId="20" fillId="0" borderId="7" xfId="1" applyNumberFormat="1" applyFont="1" applyBorder="1" applyAlignment="1">
      <alignment horizontal="center" vertical="center"/>
    </xf>
    <xf numFmtId="0" fontId="29" fillId="42" borderId="4" xfId="0" applyFont="1" applyFill="1" applyBorder="1" applyAlignment="1">
      <alignment horizontal="center" vertical="center" wrapText="1"/>
    </xf>
    <xf numFmtId="0" fontId="29" fillId="42" borderId="2" xfId="0" applyFont="1" applyFill="1" applyBorder="1" applyAlignment="1">
      <alignment horizontal="center" vertical="center"/>
    </xf>
    <xf numFmtId="0" fontId="29" fillId="42" borderId="8" xfId="0" applyFont="1" applyFill="1" applyBorder="1" applyAlignment="1">
      <alignment horizontal="center" vertical="center"/>
    </xf>
    <xf numFmtId="0" fontId="29" fillId="42" borderId="8" xfId="0" applyFont="1" applyFill="1" applyBorder="1" applyAlignment="1">
      <alignment horizontal="center"/>
    </xf>
    <xf numFmtId="0" fontId="23" fillId="0" borderId="4" xfId="0" applyFont="1" applyFill="1" applyBorder="1" applyAlignment="1">
      <alignment horizontal="center" vertical="center" wrapText="1"/>
    </xf>
    <xf numFmtId="0" fontId="23" fillId="0" borderId="6" xfId="0" applyFont="1" applyFill="1" applyBorder="1" applyAlignment="1">
      <alignment horizontal="center" vertical="center" wrapText="1"/>
    </xf>
    <xf numFmtId="0" fontId="23" fillId="42" borderId="3" xfId="0" applyFont="1" applyFill="1" applyBorder="1" applyAlignment="1">
      <alignment horizontal="center" vertical="center"/>
    </xf>
    <xf numFmtId="0" fontId="23" fillId="42" borderId="2" xfId="0" applyFont="1" applyFill="1" applyBorder="1" applyAlignment="1">
      <alignment horizontal="center" vertical="center"/>
    </xf>
    <xf numFmtId="0" fontId="23" fillId="42" borderId="4" xfId="0" applyFont="1" applyFill="1" applyBorder="1" applyAlignment="1">
      <alignment horizontal="center" vertical="center"/>
    </xf>
    <xf numFmtId="0" fontId="23" fillId="42" borderId="1" xfId="0" applyFont="1" applyFill="1" applyBorder="1" applyAlignment="1">
      <alignment horizontal="center" vertical="center"/>
    </xf>
    <xf numFmtId="0" fontId="29" fillId="3" borderId="4" xfId="0" applyFont="1" applyFill="1" applyBorder="1" applyAlignment="1">
      <alignment horizontal="center" vertical="center"/>
    </xf>
    <xf numFmtId="0" fontId="29" fillId="3" borderId="1" xfId="0" applyFont="1" applyFill="1" applyBorder="1" applyAlignment="1">
      <alignment horizontal="center" vertical="center"/>
    </xf>
    <xf numFmtId="0" fontId="23" fillId="42" borderId="4" xfId="0" applyFont="1" applyFill="1" applyBorder="1" applyAlignment="1">
      <alignment horizontal="center" vertical="center" wrapText="1"/>
    </xf>
    <xf numFmtId="0" fontId="23" fillId="42" borderId="4" xfId="0" applyFont="1" applyFill="1" applyBorder="1" applyAlignment="1">
      <alignment horizontal="center"/>
    </xf>
    <xf numFmtId="0" fontId="23" fillId="42" borderId="1" xfId="0" applyFont="1" applyFill="1" applyBorder="1" applyAlignment="1">
      <alignment horizontal="center"/>
    </xf>
    <xf numFmtId="0" fontId="23" fillId="42" borderId="6" xfId="0" applyFont="1" applyFill="1" applyBorder="1" applyAlignment="1">
      <alignment horizontal="center" vertical="center"/>
    </xf>
    <xf numFmtId="0" fontId="29" fillId="42" borderId="8" xfId="0" applyFont="1" applyFill="1" applyBorder="1" applyAlignment="1">
      <alignment horizontal="center" vertical="center" wrapText="1"/>
    </xf>
    <xf numFmtId="0" fontId="29" fillId="42" borderId="1" xfId="0" applyFont="1" applyFill="1" applyBorder="1" applyAlignment="1">
      <alignment horizontal="center" vertical="center" wrapText="1"/>
    </xf>
    <xf numFmtId="0" fontId="29" fillId="42" borderId="4" xfId="0" applyFont="1" applyFill="1" applyBorder="1" applyAlignment="1">
      <alignment horizontal="center"/>
    </xf>
    <xf numFmtId="0" fontId="29" fillId="42" borderId="1" xfId="0" applyFont="1" applyFill="1" applyBorder="1" applyAlignment="1">
      <alignment horizontal="center"/>
    </xf>
    <xf numFmtId="0" fontId="29" fillId="42" borderId="4" xfId="0" applyFont="1" applyFill="1" applyBorder="1" applyAlignment="1">
      <alignment horizontal="center" vertical="center"/>
    </xf>
    <xf numFmtId="0" fontId="29" fillId="42" borderId="1" xfId="0" applyFont="1" applyFill="1" applyBorder="1" applyAlignment="1">
      <alignment horizontal="center" vertical="center"/>
    </xf>
    <xf numFmtId="0" fontId="29" fillId="42" borderId="6" xfId="0" applyFont="1" applyFill="1" applyBorder="1" applyAlignment="1">
      <alignment horizontal="center" vertical="center"/>
    </xf>
    <xf numFmtId="0" fontId="23" fillId="0" borderId="3" xfId="0" applyFont="1" applyFill="1" applyBorder="1" applyAlignment="1">
      <alignment horizontal="center" vertical="center"/>
    </xf>
    <xf numFmtId="0" fontId="29" fillId="0" borderId="2" xfId="0" applyFont="1" applyBorder="1" applyAlignment="1">
      <alignment horizontal="center" vertical="center"/>
    </xf>
    <xf numFmtId="171" fontId="21" fillId="3" borderId="1" xfId="47" applyNumberFormat="1" applyFont="1" applyFill="1" applyBorder="1" applyAlignment="1">
      <alignment horizontal="center" vertical="center"/>
    </xf>
    <xf numFmtId="171" fontId="21" fillId="3" borderId="5" xfId="47" applyNumberFormat="1" applyFont="1" applyFill="1" applyBorder="1" applyAlignment="1">
      <alignment horizontal="center" vertical="center"/>
    </xf>
    <xf numFmtId="166" fontId="0" fillId="0" borderId="7" xfId="2" applyNumberFormat="1" applyFont="1" applyBorder="1"/>
    <xf numFmtId="0" fontId="26" fillId="38" borderId="0" xfId="0" applyFont="1" applyFill="1" applyAlignment="1">
      <alignment wrapText="1"/>
    </xf>
    <xf numFmtId="0" fontId="26" fillId="38" borderId="29" xfId="0" applyFont="1" applyFill="1" applyBorder="1" applyAlignment="1">
      <alignment horizontal="center" vertical="center" wrapText="1"/>
    </xf>
    <xf numFmtId="0" fontId="26" fillId="38" borderId="30" xfId="0" applyFont="1" applyFill="1" applyBorder="1" applyAlignment="1">
      <alignment horizontal="center" vertical="center" wrapText="1"/>
    </xf>
    <xf numFmtId="0" fontId="26" fillId="38" borderId="31" xfId="0" applyFont="1" applyFill="1" applyBorder="1" applyAlignment="1">
      <alignment horizontal="center" vertical="center" wrapText="1"/>
    </xf>
    <xf numFmtId="166" fontId="26" fillId="38" borderId="31" xfId="2" applyNumberFormat="1" applyFont="1" applyFill="1" applyBorder="1" applyAlignment="1">
      <alignment horizontal="center" vertical="center" wrapText="1"/>
    </xf>
    <xf numFmtId="0" fontId="26" fillId="38" borderId="2" xfId="0" applyFont="1" applyFill="1" applyBorder="1" applyAlignment="1">
      <alignment horizontal="center" vertical="center" wrapText="1"/>
    </xf>
    <xf numFmtId="0" fontId="26" fillId="38" borderId="8" xfId="0" applyFont="1" applyFill="1" applyBorder="1" applyAlignment="1">
      <alignment horizontal="center" vertical="center" wrapText="1"/>
    </xf>
    <xf numFmtId="166" fontId="26" fillId="38" borderId="3" xfId="2" applyNumberFormat="1" applyFont="1" applyFill="1" applyBorder="1" applyAlignment="1">
      <alignment horizontal="center" vertical="center" wrapText="1"/>
    </xf>
    <xf numFmtId="0" fontId="26" fillId="38" borderId="28" xfId="0" applyFont="1" applyFill="1" applyBorder="1" applyAlignment="1">
      <alignment horizontal="center" vertical="center" wrapText="1"/>
    </xf>
    <xf numFmtId="0" fontId="26" fillId="38" borderId="3" xfId="0" applyFont="1" applyFill="1" applyBorder="1" applyAlignment="1">
      <alignment horizontal="center" vertical="center" wrapText="1"/>
    </xf>
    <xf numFmtId="0" fontId="26" fillId="38" borderId="0" xfId="0" applyFont="1" applyFill="1" applyAlignment="1">
      <alignment horizontal="center" vertical="center" wrapText="1"/>
    </xf>
    <xf numFmtId="14" fontId="20" fillId="3" borderId="4" xfId="0" applyNumberFormat="1" applyFont="1" applyFill="1" applyBorder="1" applyAlignment="1">
      <alignment horizontal="center" vertical="center" wrapText="1"/>
    </xf>
    <xf numFmtId="1" fontId="20" fillId="3" borderId="1" xfId="0" applyNumberFormat="1" applyFont="1" applyFill="1" applyBorder="1" applyAlignment="1">
      <alignment horizontal="center" vertical="center" wrapText="1"/>
    </xf>
    <xf numFmtId="166" fontId="20" fillId="0" borderId="5" xfId="2" applyNumberFormat="1" applyFont="1" applyBorder="1" applyAlignment="1">
      <alignment horizontal="center" vertical="center"/>
    </xf>
    <xf numFmtId="14" fontId="20" fillId="3" borderId="6" xfId="0" applyNumberFormat="1" applyFont="1" applyFill="1" applyBorder="1" applyAlignment="1">
      <alignment horizontal="center" vertical="center" wrapText="1"/>
    </xf>
    <xf numFmtId="1" fontId="20" fillId="3" borderId="9" xfId="0" applyNumberFormat="1" applyFont="1" applyFill="1" applyBorder="1" applyAlignment="1">
      <alignment horizontal="center" vertical="center" wrapText="1"/>
    </xf>
    <xf numFmtId="9" fontId="20" fillId="0" borderId="9" xfId="1" applyFont="1" applyBorder="1" applyAlignment="1">
      <alignment horizontal="center" vertical="center"/>
    </xf>
    <xf numFmtId="166" fontId="20" fillId="0" borderId="7" xfId="2" applyNumberFormat="1" applyFont="1" applyBorder="1" applyAlignment="1">
      <alignment horizontal="center" vertical="center"/>
    </xf>
    <xf numFmtId="166" fontId="21" fillId="3" borderId="1" xfId="0" quotePrefix="1" applyNumberFormat="1" applyFont="1" applyFill="1" applyBorder="1" applyAlignment="1">
      <alignment horizontal="center" vertical="center"/>
    </xf>
    <xf numFmtId="166" fontId="21" fillId="3" borderId="5" xfId="0" quotePrefix="1" applyNumberFormat="1" applyFont="1" applyFill="1" applyBorder="1" applyAlignment="1">
      <alignment horizontal="center" vertical="center"/>
    </xf>
    <xf numFmtId="165" fontId="21" fillId="0" borderId="5" xfId="0" applyNumberFormat="1" applyFont="1" applyBorder="1"/>
    <xf numFmtId="165" fontId="21" fillId="0" borderId="7" xfId="0" applyNumberFormat="1" applyFont="1" applyBorder="1"/>
    <xf numFmtId="2" fontId="21" fillId="0" borderId="1" xfId="0" applyNumberFormat="1" applyFont="1" applyBorder="1"/>
    <xf numFmtId="43" fontId="21" fillId="0" borderId="1" xfId="2" applyNumberFormat="1" applyFont="1" applyBorder="1"/>
    <xf numFmtId="166" fontId="21" fillId="0" borderId="5" xfId="2" applyNumberFormat="1" applyFont="1" applyBorder="1" applyAlignment="1">
      <alignment horizontal="center"/>
    </xf>
    <xf numFmtId="166" fontId="29" fillId="42" borderId="8" xfId="2" applyNumberFormat="1" applyFont="1" applyFill="1" applyBorder="1"/>
    <xf numFmtId="0" fontId="21" fillId="0" borderId="4" xfId="0" applyFont="1" applyBorder="1"/>
    <xf numFmtId="0" fontId="21" fillId="0" borderId="5" xfId="0" applyFont="1" applyBorder="1"/>
    <xf numFmtId="166" fontId="21" fillId="0" borderId="4" xfId="0" applyNumberFormat="1" applyFont="1" applyBorder="1"/>
    <xf numFmtId="166" fontId="21" fillId="0" borderId="6" xfId="0" applyNumberFormat="1" applyFont="1" applyBorder="1"/>
    <xf numFmtId="165" fontId="21" fillId="0" borderId="9" xfId="0" applyNumberFormat="1" applyFont="1" applyBorder="1"/>
    <xf numFmtId="1" fontId="21" fillId="0" borderId="9" xfId="0" applyNumberFormat="1" applyFont="1" applyBorder="1"/>
    <xf numFmtId="2" fontId="21" fillId="0" borderId="9" xfId="0" applyNumberFormat="1" applyFont="1" applyBorder="1"/>
    <xf numFmtId="169" fontId="21" fillId="0" borderId="9" xfId="0" applyNumberFormat="1" applyFont="1" applyBorder="1"/>
    <xf numFmtId="43" fontId="21" fillId="0" borderId="9" xfId="2" applyNumberFormat="1" applyFont="1" applyBorder="1"/>
    <xf numFmtId="0" fontId="29" fillId="0" borderId="2" xfId="0" applyFont="1" applyBorder="1"/>
    <xf numFmtId="0" fontId="29" fillId="0" borderId="8" xfId="0" applyFont="1" applyBorder="1"/>
    <xf numFmtId="0" fontId="29" fillId="0" borderId="3" xfId="0" applyFont="1" applyBorder="1"/>
    <xf numFmtId="43" fontId="21" fillId="0" borderId="4" xfId="0" applyNumberFormat="1" applyFont="1" applyBorder="1"/>
    <xf numFmtId="43" fontId="21" fillId="0" borderId="5" xfId="0" applyNumberFormat="1" applyFont="1" applyBorder="1"/>
    <xf numFmtId="43" fontId="21" fillId="0" borderId="6" xfId="0" applyNumberFormat="1" applyFont="1" applyBorder="1"/>
    <xf numFmtId="43" fontId="21" fillId="0" borderId="9" xfId="0" applyNumberFormat="1" applyFont="1" applyBorder="1"/>
    <xf numFmtId="43" fontId="21" fillId="0" borderId="7" xfId="0" applyNumberFormat="1" applyFont="1" applyBorder="1"/>
    <xf numFmtId="0" fontId="29" fillId="0" borderId="45" xfId="0" applyFont="1" applyBorder="1"/>
    <xf numFmtId="43" fontId="21" fillId="0" borderId="46" xfId="0" applyNumberFormat="1" applyFont="1" applyBorder="1"/>
    <xf numFmtId="43" fontId="21" fillId="0" borderId="47" xfId="0" applyNumberFormat="1" applyFont="1" applyBorder="1"/>
    <xf numFmtId="166" fontId="21" fillId="0" borderId="5" xfId="2" applyNumberFormat="1" applyFont="1" applyBorder="1"/>
    <xf numFmtId="166" fontId="21" fillId="0" borderId="7" xfId="2" applyNumberFormat="1" applyFont="1" applyBorder="1"/>
    <xf numFmtId="0" fontId="29" fillId="0" borderId="1" xfId="0" applyFont="1" applyBorder="1" applyAlignment="1">
      <alignment horizontal="center" vertical="center"/>
    </xf>
    <xf numFmtId="0" fontId="23" fillId="0" borderId="1" xfId="0" applyFont="1" applyFill="1" applyBorder="1" applyAlignment="1">
      <alignment horizontal="center" vertical="center"/>
    </xf>
    <xf numFmtId="0" fontId="23" fillId="0" borderId="1" xfId="0" applyFont="1" applyFill="1" applyBorder="1" applyAlignment="1">
      <alignment horizontal="center" vertical="center" wrapText="1"/>
    </xf>
    <xf numFmtId="0" fontId="21" fillId="2" borderId="5" xfId="0" quotePrefix="1" applyFont="1" applyFill="1" applyBorder="1"/>
    <xf numFmtId="0" fontId="21" fillId="2" borderId="7" xfId="0" quotePrefix="1" applyFont="1" applyFill="1" applyBorder="1"/>
    <xf numFmtId="0" fontId="29" fillId="0" borderId="0" xfId="0" applyFont="1" applyFill="1"/>
    <xf numFmtId="0" fontId="31" fillId="0" borderId="0" xfId="0" applyFont="1" applyFill="1" applyBorder="1"/>
    <xf numFmtId="0" fontId="27" fillId="0" borderId="0" xfId="0" applyFont="1" applyFill="1" applyBorder="1" applyAlignment="1">
      <alignment horizontal="center" vertical="center"/>
    </xf>
    <xf numFmtId="43" fontId="26" fillId="0" borderId="0" xfId="0" applyNumberFormat="1" applyFont="1" applyFill="1" applyBorder="1"/>
    <xf numFmtId="0" fontId="28" fillId="0" borderId="0" xfId="0" applyFont="1" applyFill="1" applyBorder="1"/>
    <xf numFmtId="0" fontId="20" fillId="2" borderId="5" xfId="0" applyFont="1" applyFill="1" applyBorder="1" applyAlignment="1">
      <alignment horizontal="center" vertical="center"/>
    </xf>
    <xf numFmtId="0" fontId="20" fillId="2" borderId="7" xfId="0" applyFont="1" applyFill="1" applyBorder="1" applyAlignment="1">
      <alignment horizontal="center" vertical="center"/>
    </xf>
    <xf numFmtId="0" fontId="23" fillId="0" borderId="0" xfId="0" applyFont="1" applyFill="1" applyBorder="1" applyAlignment="1">
      <alignment horizontal="center" vertical="center" wrapText="1"/>
    </xf>
    <xf numFmtId="0" fontId="20" fillId="0" borderId="0" xfId="0" applyFont="1" applyFill="1" applyBorder="1" applyAlignment="1">
      <alignment horizontal="center" vertical="center"/>
    </xf>
    <xf numFmtId="0" fontId="23" fillId="42" borderId="6" xfId="0" applyFont="1" applyFill="1" applyBorder="1" applyAlignment="1">
      <alignment horizontal="center" vertical="center" wrapText="1"/>
    </xf>
    <xf numFmtId="0" fontId="52" fillId="0" borderId="0" xfId="0" applyFont="1" applyFill="1"/>
    <xf numFmtId="0" fontId="21" fillId="0" borderId="7" xfId="0" applyFont="1" applyBorder="1"/>
    <xf numFmtId="0" fontId="21" fillId="0" borderId="4" xfId="2" applyNumberFormat="1" applyFont="1" applyBorder="1"/>
    <xf numFmtId="0" fontId="21" fillId="0" borderId="5" xfId="2" applyNumberFormat="1" applyFont="1" applyBorder="1"/>
    <xf numFmtId="9" fontId="53" fillId="0" borderId="9" xfId="1" applyFont="1" applyBorder="1" applyAlignment="1">
      <alignment horizontal="center" vertical="center"/>
    </xf>
    <xf numFmtId="9" fontId="53" fillId="0" borderId="0" xfId="1" applyFont="1" applyBorder="1"/>
    <xf numFmtId="9" fontId="49" fillId="0" borderId="9" xfId="1" applyFont="1" applyBorder="1" applyAlignment="1">
      <alignment horizontal="center" vertical="center"/>
    </xf>
    <xf numFmtId="0" fontId="35" fillId="3" borderId="0" xfId="0" applyFont="1" applyFill="1"/>
    <xf numFmtId="0" fontId="26" fillId="3" borderId="0" xfId="0" applyFont="1" applyFill="1"/>
    <xf numFmtId="0" fontId="22" fillId="39" borderId="0" xfId="0" applyFont="1" applyFill="1" applyAlignment="1">
      <alignment horizontal="center" vertical="center"/>
    </xf>
    <xf numFmtId="0" fontId="29" fillId="42" borderId="2" xfId="0" applyFont="1" applyFill="1" applyBorder="1" applyAlignment="1">
      <alignment horizontal="center" vertical="center"/>
    </xf>
    <xf numFmtId="0" fontId="29" fillId="42" borderId="8" xfId="0" applyFont="1" applyFill="1" applyBorder="1" applyAlignment="1">
      <alignment horizontal="center" vertical="center"/>
    </xf>
    <xf numFmtId="0" fontId="29" fillId="42" borderId="3" xfId="0" applyFont="1" applyFill="1" applyBorder="1" applyAlignment="1">
      <alignment horizontal="center" vertical="center"/>
    </xf>
    <xf numFmtId="0" fontId="29" fillId="42" borderId="4" xfId="0" applyFont="1" applyFill="1" applyBorder="1" applyAlignment="1">
      <alignment horizontal="center" vertical="center" wrapText="1"/>
    </xf>
    <xf numFmtId="0" fontId="51" fillId="0" borderId="36" xfId="0" applyFont="1" applyFill="1" applyBorder="1" applyAlignment="1">
      <alignment horizontal="center" wrapText="1"/>
    </xf>
    <xf numFmtId="0" fontId="23" fillId="42" borderId="28" xfId="0" applyFont="1" applyFill="1" applyBorder="1" applyAlignment="1">
      <alignment horizontal="center" vertical="center"/>
    </xf>
    <xf numFmtId="0" fontId="23" fillId="42" borderId="41" xfId="0" applyFont="1" applyFill="1" applyBorder="1" applyAlignment="1">
      <alignment horizontal="center" vertical="center"/>
    </xf>
    <xf numFmtId="0" fontId="23" fillId="42" borderId="42" xfId="0" applyFont="1" applyFill="1" applyBorder="1" applyAlignment="1">
      <alignment horizontal="center" vertical="center"/>
    </xf>
    <xf numFmtId="0" fontId="29" fillId="42" borderId="8" xfId="0" applyFont="1" applyFill="1" applyBorder="1" applyAlignment="1">
      <alignment horizontal="center"/>
    </xf>
    <xf numFmtId="0" fontId="21" fillId="3" borderId="38" xfId="0" applyFont="1" applyFill="1" applyBorder="1" applyAlignment="1">
      <alignment horizontal="center" wrapText="1"/>
    </xf>
    <xf numFmtId="0" fontId="21" fillId="3" borderId="39" xfId="0" applyFont="1" applyFill="1" applyBorder="1" applyAlignment="1">
      <alignment horizontal="center" wrapText="1"/>
    </xf>
    <xf numFmtId="0" fontId="23" fillId="42" borderId="8" xfId="0" applyFont="1" applyFill="1" applyBorder="1" applyAlignment="1">
      <alignment horizontal="center" vertical="center"/>
    </xf>
    <xf numFmtId="0" fontId="29" fillId="42" borderId="6" xfId="0" applyFont="1" applyFill="1" applyBorder="1" applyAlignment="1">
      <alignment horizontal="center" vertical="center" wrapText="1"/>
    </xf>
    <xf numFmtId="0" fontId="29" fillId="42" borderId="3" xfId="0" applyFont="1" applyFill="1" applyBorder="1" applyAlignment="1">
      <alignment horizontal="center"/>
    </xf>
    <xf numFmtId="0" fontId="23" fillId="42" borderId="8" xfId="0" applyFont="1" applyFill="1" applyBorder="1" applyAlignment="1">
      <alignment horizontal="center"/>
    </xf>
    <xf numFmtId="0" fontId="23" fillId="42" borderId="3" xfId="0" applyFont="1" applyFill="1" applyBorder="1" applyAlignment="1">
      <alignment horizontal="center"/>
    </xf>
    <xf numFmtId="0" fontId="50" fillId="0" borderId="0" xfId="0" applyFont="1" applyFill="1" applyBorder="1" applyAlignment="1">
      <alignment horizontal="left"/>
    </xf>
    <xf numFmtId="0" fontId="23" fillId="42" borderId="3" xfId="0" applyFont="1" applyFill="1" applyBorder="1" applyAlignment="1">
      <alignment horizontal="center" vertical="center"/>
    </xf>
    <xf numFmtId="0" fontId="23" fillId="42" borderId="2" xfId="0" applyFont="1" applyFill="1" applyBorder="1" applyAlignment="1">
      <alignment horizontal="center" vertical="center"/>
    </xf>
    <xf numFmtId="0" fontId="23" fillId="42" borderId="4" xfId="0" applyFont="1" applyFill="1" applyBorder="1" applyAlignment="1">
      <alignment horizontal="center" vertical="center"/>
    </xf>
    <xf numFmtId="0" fontId="23" fillId="42" borderId="1" xfId="0" applyFont="1" applyFill="1" applyBorder="1" applyAlignment="1">
      <alignment horizontal="center" vertical="center"/>
    </xf>
    <xf numFmtId="0" fontId="29" fillId="3" borderId="4" xfId="0" applyFont="1" applyFill="1" applyBorder="1" applyAlignment="1">
      <alignment horizontal="center" vertical="center"/>
    </xf>
    <xf numFmtId="0" fontId="29" fillId="3" borderId="1" xfId="0" applyFont="1" applyFill="1" applyBorder="1" applyAlignment="1">
      <alignment horizontal="center" vertical="center"/>
    </xf>
    <xf numFmtId="0" fontId="29" fillId="3" borderId="6" xfId="0" applyFont="1" applyFill="1" applyBorder="1" applyAlignment="1">
      <alignment horizontal="center" vertical="center"/>
    </xf>
    <xf numFmtId="0" fontId="29" fillId="3" borderId="9" xfId="0" applyFont="1" applyFill="1" applyBorder="1" applyAlignment="1">
      <alignment horizontal="center" vertical="center"/>
    </xf>
    <xf numFmtId="0" fontId="23" fillId="42" borderId="2" xfId="0" applyFont="1" applyFill="1" applyBorder="1" applyAlignment="1">
      <alignment horizontal="center" vertical="center" wrapText="1"/>
    </xf>
    <xf numFmtId="0" fontId="23" fillId="42" borderId="8" xfId="0" applyFont="1" applyFill="1" applyBorder="1" applyAlignment="1">
      <alignment horizontal="center" vertical="center" wrapText="1"/>
    </xf>
    <xf numFmtId="0" fontId="23" fillId="42" borderId="4" xfId="0" applyFont="1" applyFill="1" applyBorder="1" applyAlignment="1">
      <alignment horizontal="center" vertical="center" wrapText="1"/>
    </xf>
    <xf numFmtId="0" fontId="23" fillId="42" borderId="1" xfId="0" applyFont="1" applyFill="1" applyBorder="1" applyAlignment="1">
      <alignment horizontal="center" vertical="center" wrapText="1"/>
    </xf>
    <xf numFmtId="0" fontId="23" fillId="42" borderId="4" xfId="0" applyFont="1" applyFill="1" applyBorder="1" applyAlignment="1">
      <alignment horizontal="center"/>
    </xf>
    <xf numFmtId="0" fontId="23" fillId="42" borderId="1" xfId="0" applyFont="1" applyFill="1" applyBorder="1" applyAlignment="1">
      <alignment horizontal="center"/>
    </xf>
    <xf numFmtId="0" fontId="23" fillId="42" borderId="6" xfId="0" applyFont="1" applyFill="1" applyBorder="1" applyAlignment="1">
      <alignment horizontal="center" vertical="center"/>
    </xf>
    <xf numFmtId="0" fontId="23" fillId="42" borderId="9" xfId="0" applyFont="1" applyFill="1" applyBorder="1" applyAlignment="1">
      <alignment horizontal="center" vertical="center"/>
    </xf>
    <xf numFmtId="0" fontId="23" fillId="42" borderId="19" xfId="0" applyFont="1" applyFill="1" applyBorder="1" applyAlignment="1">
      <alignment horizontal="center" vertical="center"/>
    </xf>
    <xf numFmtId="0" fontId="23" fillId="42" borderId="22" xfId="0" applyFont="1" applyFill="1" applyBorder="1" applyAlignment="1">
      <alignment horizontal="center" vertical="center"/>
    </xf>
    <xf numFmtId="0" fontId="29" fillId="42" borderId="32" xfId="0" applyFont="1" applyFill="1" applyBorder="1" applyAlignment="1">
      <alignment horizontal="center" vertical="center"/>
    </xf>
    <xf numFmtId="0" fontId="29" fillId="42" borderId="44" xfId="0" applyFont="1" applyFill="1" applyBorder="1" applyAlignment="1">
      <alignment horizontal="center" vertical="center"/>
    </xf>
    <xf numFmtId="0" fontId="29" fillId="42" borderId="20" xfId="0" applyFont="1" applyFill="1" applyBorder="1" applyAlignment="1">
      <alignment horizontal="center" vertical="center"/>
    </xf>
    <xf numFmtId="0" fontId="29" fillId="42" borderId="2" xfId="0" applyFont="1" applyFill="1" applyBorder="1" applyAlignment="1">
      <alignment horizontal="center" vertical="center" wrapText="1"/>
    </xf>
    <xf numFmtId="0" fontId="29" fillId="42" borderId="8" xfId="0" applyFont="1" applyFill="1" applyBorder="1" applyAlignment="1">
      <alignment horizontal="center" vertical="center" wrapText="1"/>
    </xf>
    <xf numFmtId="0" fontId="29" fillId="42" borderId="1" xfId="0" applyFont="1" applyFill="1" applyBorder="1" applyAlignment="1">
      <alignment horizontal="center" vertical="center" wrapText="1"/>
    </xf>
    <xf numFmtId="0" fontId="29" fillId="42" borderId="4" xfId="0" applyFont="1" applyFill="1" applyBorder="1" applyAlignment="1">
      <alignment horizontal="center"/>
    </xf>
    <xf numFmtId="0" fontId="29" fillId="42" borderId="1" xfId="0" applyFont="1" applyFill="1" applyBorder="1" applyAlignment="1">
      <alignment horizontal="center"/>
    </xf>
    <xf numFmtId="0" fontId="29" fillId="42" borderId="4" xfId="0" applyFont="1" applyFill="1" applyBorder="1" applyAlignment="1">
      <alignment horizontal="center" vertical="center"/>
    </xf>
    <xf numFmtId="0" fontId="29" fillId="42" borderId="1" xfId="0" applyFont="1" applyFill="1" applyBorder="1" applyAlignment="1">
      <alignment horizontal="center" vertical="center"/>
    </xf>
    <xf numFmtId="0" fontId="29" fillId="42" borderId="6" xfId="0" applyFont="1" applyFill="1" applyBorder="1" applyAlignment="1">
      <alignment horizontal="center" vertical="center"/>
    </xf>
    <xf numFmtId="0" fontId="29" fillId="42" borderId="9" xfId="0" applyFont="1" applyFill="1" applyBorder="1" applyAlignment="1">
      <alignment horizontal="center" vertical="center"/>
    </xf>
    <xf numFmtId="0" fontId="29" fillId="0" borderId="1" xfId="0" applyFont="1" applyBorder="1" applyAlignment="1">
      <alignment horizontal="right" wrapText="1"/>
    </xf>
    <xf numFmtId="0" fontId="33" fillId="3" borderId="19" xfId="0" applyFont="1" applyFill="1" applyBorder="1" applyAlignment="1">
      <alignment horizontal="center" vertical="center" wrapText="1" readingOrder="1"/>
    </xf>
    <xf numFmtId="0" fontId="33" fillId="3" borderId="21" xfId="0" applyFont="1" applyFill="1" applyBorder="1" applyAlignment="1">
      <alignment horizontal="center" vertical="center" wrapText="1" readingOrder="1"/>
    </xf>
    <xf numFmtId="0" fontId="33" fillId="3" borderId="22" xfId="0" applyFont="1" applyFill="1" applyBorder="1" applyAlignment="1">
      <alignment horizontal="center" vertical="center" wrapText="1" readingOrder="1"/>
    </xf>
    <xf numFmtId="0" fontId="33" fillId="3" borderId="1" xfId="0" applyFont="1" applyFill="1" applyBorder="1" applyAlignment="1">
      <alignment horizontal="center" vertical="center" wrapText="1" readingOrder="1"/>
    </xf>
    <xf numFmtId="0" fontId="30" fillId="40" borderId="27" xfId="0" applyFont="1" applyFill="1" applyBorder="1" applyAlignment="1">
      <alignment horizontal="center" vertical="center" wrapText="1" readingOrder="1"/>
    </xf>
    <xf numFmtId="0" fontId="21" fillId="2" borderId="0" xfId="0" applyFont="1" applyFill="1" applyBorder="1" applyAlignment="1">
      <alignment horizontal="center"/>
    </xf>
    <xf numFmtId="0" fontId="21" fillId="2" borderId="27" xfId="0" applyFont="1" applyFill="1" applyBorder="1" applyAlignment="1">
      <alignment horizontal="center"/>
    </xf>
    <xf numFmtId="0" fontId="29" fillId="0" borderId="0" xfId="0" applyFont="1" applyBorder="1" applyAlignment="1">
      <alignment horizontal="center" wrapText="1"/>
    </xf>
    <xf numFmtId="0" fontId="44" fillId="0" borderId="0" xfId="0" applyFont="1" applyAlignment="1">
      <alignment horizontal="center" wrapText="1"/>
    </xf>
    <xf numFmtId="0" fontId="44" fillId="0" borderId="0" xfId="0" applyFont="1" applyBorder="1" applyAlignment="1">
      <alignment horizontal="center"/>
    </xf>
    <xf numFmtId="0" fontId="29" fillId="0" borderId="27" xfId="0" applyFont="1" applyBorder="1" applyAlignment="1">
      <alignment horizontal="center" wrapText="1"/>
    </xf>
    <xf numFmtId="0" fontId="29" fillId="0" borderId="0" xfId="0" applyFont="1" applyBorder="1" applyAlignment="1">
      <alignment horizontal="center"/>
    </xf>
    <xf numFmtId="0" fontId="29" fillId="0" borderId="0" xfId="0" applyFont="1" applyAlignment="1">
      <alignment horizontal="center" wrapText="1"/>
    </xf>
    <xf numFmtId="0" fontId="29" fillId="0" borderId="2" xfId="0" applyFont="1" applyBorder="1" applyAlignment="1">
      <alignment horizontal="center" wrapText="1"/>
    </xf>
    <xf numFmtId="0" fontId="29" fillId="0" borderId="3" xfId="0" applyFont="1" applyBorder="1" applyAlignment="1">
      <alignment horizontal="center" wrapText="1"/>
    </xf>
    <xf numFmtId="9" fontId="0" fillId="0" borderId="0" xfId="0" applyNumberFormat="1" applyFont="1" applyAlignment="1">
      <alignment horizontal="center" vertical="center" wrapText="1"/>
    </xf>
    <xf numFmtId="0" fontId="0" fillId="0" borderId="0" xfId="0" applyFont="1" applyAlignment="1">
      <alignment horizontal="center" vertical="center" wrapText="1"/>
    </xf>
  </cellXfs>
  <cellStyles count="48">
    <cellStyle name="20% - Accent1" xfId="21" builtinId="30" customBuiltin="1"/>
    <cellStyle name="20% - Accent2" xfId="25" builtinId="34" customBuiltin="1"/>
    <cellStyle name="20% - Accent3" xfId="29" builtinId="38" customBuiltin="1"/>
    <cellStyle name="20% - Accent4" xfId="33" builtinId="42" customBuiltin="1"/>
    <cellStyle name="20% - Accent5" xfId="37" builtinId="46" customBuiltin="1"/>
    <cellStyle name="20% - Accent6" xfId="41" builtinId="50" customBuiltin="1"/>
    <cellStyle name="40% - Accent1" xfId="22" builtinId="31" customBuiltin="1"/>
    <cellStyle name="40% - Accent2" xfId="26" builtinId="35" customBuiltin="1"/>
    <cellStyle name="40% - Accent3" xfId="30" builtinId="39" customBuiltin="1"/>
    <cellStyle name="40% - Accent4" xfId="34" builtinId="43" customBuiltin="1"/>
    <cellStyle name="40% - Accent5" xfId="38" builtinId="47" customBuiltin="1"/>
    <cellStyle name="40% - Accent6" xfId="42" builtinId="51" customBuiltin="1"/>
    <cellStyle name="60% - Accent1" xfId="23" builtinId="32" customBuiltin="1"/>
    <cellStyle name="60% - Accent2" xfId="27" builtinId="36" customBuiltin="1"/>
    <cellStyle name="60% - Accent3" xfId="31" builtinId="40" customBuiltin="1"/>
    <cellStyle name="60% - Accent4" xfId="35" builtinId="44" customBuiltin="1"/>
    <cellStyle name="60% - Accent5" xfId="39" builtinId="48" customBuiltin="1"/>
    <cellStyle name="60% - Accent6" xfId="43" builtinId="52" customBuiltin="1"/>
    <cellStyle name="Accent1" xfId="20" builtinId="29" customBuiltin="1"/>
    <cellStyle name="Accent2" xfId="24" builtinId="33" customBuiltin="1"/>
    <cellStyle name="Accent3" xfId="28" builtinId="37" customBuiltin="1"/>
    <cellStyle name="Accent4" xfId="32" builtinId="41" customBuiltin="1"/>
    <cellStyle name="Accent5" xfId="36" builtinId="45" customBuiltin="1"/>
    <cellStyle name="Accent6" xfId="40" builtinId="49" customBuiltin="1"/>
    <cellStyle name="Bad" xfId="9" builtinId="27" customBuiltin="1"/>
    <cellStyle name="Calculation" xfId="13" builtinId="22" customBuiltin="1"/>
    <cellStyle name="Check Cell" xfId="15" builtinId="23" customBuiltin="1"/>
    <cellStyle name="Comma" xfId="2" builtinId="3"/>
    <cellStyle name="Comma 2" xfId="44" xr:uid="{9499E6E4-4910-4A0C-A02A-950FBD404BFB}"/>
    <cellStyle name="Currency" xfId="47" builtinId="4"/>
    <cellStyle name="Explanatory Text" xfId="18" builtinId="53" customBuiltin="1"/>
    <cellStyle name="Good" xfId="8" builtinId="26" customBuiltin="1"/>
    <cellStyle name="Heading 1" xfId="4" builtinId="16" customBuiltin="1"/>
    <cellStyle name="Heading 2" xfId="5" builtinId="17" customBuiltin="1"/>
    <cellStyle name="Heading 3" xfId="6" builtinId="18" customBuiltin="1"/>
    <cellStyle name="Heading 4" xfId="7" builtinId="19" customBuiltin="1"/>
    <cellStyle name="Hyperlink" xfId="45" builtinId="8"/>
    <cellStyle name="Input" xfId="11" builtinId="20" customBuiltin="1"/>
    <cellStyle name="Linked Cell" xfId="14" builtinId="24" customBuiltin="1"/>
    <cellStyle name="Neutral" xfId="10" builtinId="28" customBuiltin="1"/>
    <cellStyle name="Normal" xfId="0" builtinId="0"/>
    <cellStyle name="Normal 2 2 2" xfId="46" xr:uid="{FB8CAFA6-22F4-4F8D-8435-335629BDE3EB}"/>
    <cellStyle name="Note" xfId="17" builtinId="10" customBuiltin="1"/>
    <cellStyle name="Output" xfId="12" builtinId="21" customBuiltin="1"/>
    <cellStyle name="Percent" xfId="1" builtinId="5"/>
    <cellStyle name="Title" xfId="3" builtinId="15" customBuiltin="1"/>
    <cellStyle name="Total" xfId="19" builtinId="25" customBuiltin="1"/>
    <cellStyle name="Warning Text" xfId="16" builtinId="11" customBuiltin="1"/>
  </cellStyles>
  <dxfs count="0"/>
  <tableStyles count="0" defaultTableStyle="TableStyleMedium9" defaultPivotStyle="PivotStyleLight16"/>
  <colors>
    <mruColors>
      <color rgb="FF105BD8"/>
      <color rgb="FF061F4A"/>
      <color rgb="FFAEB0B5"/>
      <color rgb="FF0B3D91"/>
      <color rgb="FF212121"/>
      <color rgb="FF323A45"/>
      <color rgb="FF004225"/>
      <color rgb="FFDD361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38"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37" Type="http://schemas.microsoft.com/office/2017/06/relationships/rdRichValueTypes" Target="richData/rdRichValueTyp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microsoft.com/office/2017/06/relationships/rdRichValueStructure" Target="richData/rdrichvaluestructure.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microsoft.com/office/2017/06/relationships/rdRichValue" Target="richData/rdrichvalue.xml"/><Relationship Id="rId8" Type="http://schemas.openxmlformats.org/officeDocument/2006/relationships/worksheet" Target="worksheets/sheet8.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4.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5.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36.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37.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38.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39.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40.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41.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42.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_rels/chart43.xml.rels><?xml version="1.0" encoding="UTF-8" standalone="yes"?>
<Relationships xmlns="http://schemas.openxmlformats.org/package/2006/relationships"><Relationship Id="rId2" Type="http://schemas.microsoft.com/office/2011/relationships/chartColorStyle" Target="colors43.xml"/><Relationship Id="rId1" Type="http://schemas.microsoft.com/office/2011/relationships/chartStyle" Target="style43.xml"/></Relationships>
</file>

<file path=xl/charts/_rels/chart44.xml.rels><?xml version="1.0" encoding="UTF-8" standalone="yes"?>
<Relationships xmlns="http://schemas.openxmlformats.org/package/2006/relationships"><Relationship Id="rId2" Type="http://schemas.microsoft.com/office/2011/relationships/chartColorStyle" Target="colors44.xml"/><Relationship Id="rId1" Type="http://schemas.microsoft.com/office/2011/relationships/chartStyle" Target="style44.xml"/></Relationships>
</file>

<file path=xl/charts/_rels/chart45.xml.rels><?xml version="1.0" encoding="UTF-8" standalone="yes"?>
<Relationships xmlns="http://schemas.openxmlformats.org/package/2006/relationships"><Relationship Id="rId2" Type="http://schemas.microsoft.com/office/2011/relationships/chartColorStyle" Target="colors45.xml"/><Relationship Id="rId1" Type="http://schemas.microsoft.com/office/2011/relationships/chartStyle" Target="style45.xml"/></Relationships>
</file>

<file path=xl/charts/_rels/chart46.xml.rels><?xml version="1.0" encoding="UTF-8" standalone="yes"?>
<Relationships xmlns="http://schemas.openxmlformats.org/package/2006/relationships"><Relationship Id="rId2" Type="http://schemas.microsoft.com/office/2011/relationships/chartColorStyle" Target="colors46.xml"/><Relationship Id="rId1" Type="http://schemas.microsoft.com/office/2011/relationships/chartStyle" Target="style46.xml"/></Relationships>
</file>

<file path=xl/charts/_rels/chart47.xml.rels><?xml version="1.0" encoding="UTF-8" standalone="yes"?>
<Relationships xmlns="http://schemas.openxmlformats.org/package/2006/relationships"><Relationship Id="rId2" Type="http://schemas.microsoft.com/office/2011/relationships/chartColorStyle" Target="colors47.xml"/><Relationship Id="rId1" Type="http://schemas.microsoft.com/office/2011/relationships/chartStyle" Target="style47.xml"/></Relationships>
</file>

<file path=xl/charts/_rels/chart48.xml.rels><?xml version="1.0" encoding="UTF-8" standalone="yes"?>
<Relationships xmlns="http://schemas.openxmlformats.org/package/2006/relationships"><Relationship Id="rId2" Type="http://schemas.microsoft.com/office/2011/relationships/chartColorStyle" Target="colors48.xml"/><Relationship Id="rId1" Type="http://schemas.microsoft.com/office/2011/relationships/chartStyle" Target="style48.xml"/></Relationships>
</file>

<file path=xl/charts/_rels/chart49.xml.rels><?xml version="1.0" encoding="UTF-8" standalone="yes"?>
<Relationships xmlns="http://schemas.openxmlformats.org/package/2006/relationships"><Relationship Id="rId2" Type="http://schemas.microsoft.com/office/2011/relationships/chartColorStyle" Target="colors49.xml"/><Relationship Id="rId1" Type="http://schemas.microsoft.com/office/2011/relationships/chartStyle" Target="style49.xml"/></Relationships>
</file>

<file path=xl/charts/_rels/chart50.xml.rels><?xml version="1.0" encoding="UTF-8" standalone="yes"?>
<Relationships xmlns="http://schemas.openxmlformats.org/package/2006/relationships"><Relationship Id="rId2" Type="http://schemas.microsoft.com/office/2011/relationships/chartColorStyle" Target="colors50.xml"/><Relationship Id="rId1" Type="http://schemas.microsoft.com/office/2011/relationships/chartStyle" Target="style50.xml"/></Relationships>
</file>

<file path=xl/charts/_rels/chart51.xml.rels><?xml version="1.0" encoding="UTF-8" standalone="yes"?>
<Relationships xmlns="http://schemas.openxmlformats.org/package/2006/relationships"><Relationship Id="rId2" Type="http://schemas.microsoft.com/office/2011/relationships/chartColorStyle" Target="colors51.xml"/><Relationship Id="rId1" Type="http://schemas.microsoft.com/office/2011/relationships/chartStyle" Target="style51.xml"/></Relationships>
</file>

<file path=xl/charts/_rels/chart52.xml.rels><?xml version="1.0" encoding="UTF-8" standalone="yes"?>
<Relationships xmlns="http://schemas.openxmlformats.org/package/2006/relationships"><Relationship Id="rId2" Type="http://schemas.microsoft.com/office/2011/relationships/chartColorStyle" Target="colors52.xml"/><Relationship Id="rId1" Type="http://schemas.microsoft.com/office/2011/relationships/chartStyle" Target="style52.xml"/></Relationships>
</file>

<file path=xl/charts/_rels/chart53.xml.rels><?xml version="1.0" encoding="UTF-8" standalone="yes"?>
<Relationships xmlns="http://schemas.openxmlformats.org/package/2006/relationships"><Relationship Id="rId2" Type="http://schemas.microsoft.com/office/2011/relationships/chartColorStyle" Target="colors53.xml"/><Relationship Id="rId1" Type="http://schemas.microsoft.com/office/2011/relationships/chartStyle" Target="style53.xml"/></Relationships>
</file>

<file path=xl/charts/_rels/chart54.xml.rels><?xml version="1.0" encoding="UTF-8" standalone="yes"?>
<Relationships xmlns="http://schemas.openxmlformats.org/package/2006/relationships"><Relationship Id="rId2" Type="http://schemas.microsoft.com/office/2011/relationships/chartColorStyle" Target="colors54.xml"/><Relationship Id="rId1" Type="http://schemas.microsoft.com/office/2011/relationships/chartStyle" Target="style54.xml"/></Relationships>
</file>

<file path=xl/charts/_rels/chart55.xml.rels><?xml version="1.0" encoding="UTF-8" standalone="yes"?>
<Relationships xmlns="http://schemas.openxmlformats.org/package/2006/relationships"><Relationship Id="rId2" Type="http://schemas.microsoft.com/office/2011/relationships/chartColorStyle" Target="colors55.xml"/><Relationship Id="rId1" Type="http://schemas.microsoft.com/office/2011/relationships/chartStyle" Target="style55.xml"/></Relationships>
</file>

<file path=xl/charts/_rels/chart56.xml.rels><?xml version="1.0" encoding="UTF-8" standalone="yes"?>
<Relationships xmlns="http://schemas.openxmlformats.org/package/2006/relationships"><Relationship Id="rId2" Type="http://schemas.microsoft.com/office/2011/relationships/chartColorStyle" Target="colors56.xml"/><Relationship Id="rId1" Type="http://schemas.microsoft.com/office/2011/relationships/chartStyle" Target="style56.xml"/></Relationships>
</file>

<file path=xl/charts/_rels/chart57.xml.rels><?xml version="1.0" encoding="UTF-8" standalone="yes"?>
<Relationships xmlns="http://schemas.openxmlformats.org/package/2006/relationships"><Relationship Id="rId2" Type="http://schemas.microsoft.com/office/2011/relationships/chartColorStyle" Target="colors57.xml"/><Relationship Id="rId1" Type="http://schemas.microsoft.com/office/2011/relationships/chartStyle" Target="style57.xml"/></Relationships>
</file>

<file path=xl/charts/_rels/chart58.xml.rels><?xml version="1.0" encoding="UTF-8" standalone="yes"?>
<Relationships xmlns="http://schemas.openxmlformats.org/package/2006/relationships"><Relationship Id="rId2" Type="http://schemas.microsoft.com/office/2011/relationships/chartColorStyle" Target="colors58.xml"/><Relationship Id="rId1" Type="http://schemas.microsoft.com/office/2011/relationships/chartStyle" Target="style58.xml"/></Relationships>
</file>

<file path=xl/charts/_rels/chart59.xml.rels><?xml version="1.0" encoding="UTF-8" standalone="yes"?>
<Relationships xmlns="http://schemas.openxmlformats.org/package/2006/relationships"><Relationship Id="rId2" Type="http://schemas.microsoft.com/office/2011/relationships/chartColorStyle" Target="colors59.xml"/><Relationship Id="rId1" Type="http://schemas.microsoft.com/office/2011/relationships/chartStyle" Target="style59.xml"/></Relationships>
</file>

<file path=xl/charts/_rels/chart60.xml.rels><?xml version="1.0" encoding="UTF-8" standalone="yes"?>
<Relationships xmlns="http://schemas.openxmlformats.org/package/2006/relationships"><Relationship Id="rId2" Type="http://schemas.microsoft.com/office/2011/relationships/chartColorStyle" Target="colors60.xml"/><Relationship Id="rId1" Type="http://schemas.microsoft.com/office/2011/relationships/chartStyle" Target="style60.xml"/></Relationships>
</file>

<file path=xl/charts/_rels/chart61.xml.rels><?xml version="1.0" encoding="UTF-8" standalone="yes"?>
<Relationships xmlns="http://schemas.openxmlformats.org/package/2006/relationships"><Relationship Id="rId2" Type="http://schemas.microsoft.com/office/2011/relationships/chartColorStyle" Target="colors61.xml"/><Relationship Id="rId1" Type="http://schemas.microsoft.com/office/2011/relationships/chartStyle" Target="style61.xml"/></Relationships>
</file>

<file path=xl/charts/_rels/chart62.xml.rels><?xml version="1.0" encoding="UTF-8" standalone="yes"?>
<Relationships xmlns="http://schemas.openxmlformats.org/package/2006/relationships"><Relationship Id="rId2" Type="http://schemas.microsoft.com/office/2011/relationships/chartColorStyle" Target="colors62.xml"/><Relationship Id="rId1" Type="http://schemas.microsoft.com/office/2011/relationships/chartStyle" Target="style62.xml"/></Relationships>
</file>

<file path=xl/charts/_rels/chart63.xml.rels><?xml version="1.0" encoding="UTF-8" standalone="yes"?>
<Relationships xmlns="http://schemas.openxmlformats.org/package/2006/relationships"><Relationship Id="rId2" Type="http://schemas.microsoft.com/office/2011/relationships/chartColorStyle" Target="colors63.xml"/><Relationship Id="rId1" Type="http://schemas.microsoft.com/office/2011/relationships/chartStyle" Target="style63.xml"/></Relationships>
</file>

<file path=xl/charts/_rels/chart64.xml.rels><?xml version="1.0" encoding="UTF-8" standalone="yes"?>
<Relationships xmlns="http://schemas.openxmlformats.org/package/2006/relationships"><Relationship Id="rId2" Type="http://schemas.microsoft.com/office/2011/relationships/chartColorStyle" Target="colors64.xml"/><Relationship Id="rId1" Type="http://schemas.microsoft.com/office/2011/relationships/chartStyle" Target="style64.xml"/></Relationships>
</file>

<file path=xl/charts/_rels/chart65.xml.rels><?xml version="1.0" encoding="UTF-8" standalone="yes"?>
<Relationships xmlns="http://schemas.openxmlformats.org/package/2006/relationships"><Relationship Id="rId2" Type="http://schemas.microsoft.com/office/2011/relationships/chartColorStyle" Target="colors65.xml"/><Relationship Id="rId1" Type="http://schemas.microsoft.com/office/2011/relationships/chartStyle" Target="style65.xml"/></Relationships>
</file>

<file path=xl/charts/_rels/chart66.xml.rels><?xml version="1.0" encoding="UTF-8" standalone="yes"?>
<Relationships xmlns="http://schemas.openxmlformats.org/package/2006/relationships"><Relationship Id="rId2" Type="http://schemas.microsoft.com/office/2011/relationships/chartColorStyle" Target="colors66.xml"/><Relationship Id="rId1" Type="http://schemas.microsoft.com/office/2011/relationships/chartStyle" Target="style66.xml"/></Relationships>
</file>

<file path=xl/charts/_rels/chart67.xml.rels><?xml version="1.0" encoding="UTF-8" standalone="yes"?>
<Relationships xmlns="http://schemas.openxmlformats.org/package/2006/relationships"><Relationship Id="rId2" Type="http://schemas.microsoft.com/office/2011/relationships/chartColorStyle" Target="colors67.xml"/><Relationship Id="rId1" Type="http://schemas.microsoft.com/office/2011/relationships/chartStyle" Target="style67.xml"/></Relationships>
</file>

<file path=xl/charts/_rels/chart68.xml.rels><?xml version="1.0" encoding="UTF-8" standalone="yes"?>
<Relationships xmlns="http://schemas.openxmlformats.org/package/2006/relationships"><Relationship Id="rId2" Type="http://schemas.microsoft.com/office/2011/relationships/chartColorStyle" Target="colors68.xml"/><Relationship Id="rId1" Type="http://schemas.microsoft.com/office/2011/relationships/chartStyle" Target="style68.xml"/></Relationships>
</file>

<file path=xl/charts/_rels/chart69.xml.rels><?xml version="1.0" encoding="UTF-8" standalone="yes"?>
<Relationships xmlns="http://schemas.openxmlformats.org/package/2006/relationships"><Relationship Id="rId2" Type="http://schemas.microsoft.com/office/2011/relationships/chartColorStyle" Target="colors69.xml"/><Relationship Id="rId1" Type="http://schemas.microsoft.com/office/2011/relationships/chartStyle" Target="style69.xml"/></Relationships>
</file>

<file path=xl/charts/_rels/chart70.xml.rels><?xml version="1.0" encoding="UTF-8" standalone="yes"?>
<Relationships xmlns="http://schemas.openxmlformats.org/package/2006/relationships"><Relationship Id="rId2" Type="http://schemas.microsoft.com/office/2011/relationships/chartColorStyle" Target="colors70.xml"/><Relationship Id="rId1" Type="http://schemas.microsoft.com/office/2011/relationships/chartStyle" Target="style70.xml"/></Relationships>
</file>

<file path=xl/charts/_rels/chart71.xml.rels><?xml version="1.0" encoding="UTF-8" standalone="yes"?>
<Relationships xmlns="http://schemas.openxmlformats.org/package/2006/relationships"><Relationship Id="rId2" Type="http://schemas.microsoft.com/office/2011/relationships/chartColorStyle" Target="colors71.xml"/><Relationship Id="rId1" Type="http://schemas.microsoft.com/office/2011/relationships/chartStyle" Target="style71.xml"/></Relationships>
</file>

<file path=xl/charts/_rels/chart72.xml.rels><?xml version="1.0" encoding="UTF-8" standalone="yes"?>
<Relationships xmlns="http://schemas.openxmlformats.org/package/2006/relationships"><Relationship Id="rId2" Type="http://schemas.microsoft.com/office/2011/relationships/chartColorStyle" Target="colors72.xml"/><Relationship Id="rId1" Type="http://schemas.microsoft.com/office/2011/relationships/chartStyle" Target="style72.xml"/></Relationships>
</file>

<file path=xl/charts/_rels/chart73.xml.rels><?xml version="1.0" encoding="UTF-8" standalone="yes"?>
<Relationships xmlns="http://schemas.openxmlformats.org/package/2006/relationships"><Relationship Id="rId2" Type="http://schemas.microsoft.com/office/2011/relationships/chartColorStyle" Target="colors73.xml"/><Relationship Id="rId1" Type="http://schemas.microsoft.com/office/2011/relationships/chartStyle" Target="style73.xml"/></Relationships>
</file>

<file path=xl/charts/_rels/chart74.xml.rels><?xml version="1.0" encoding="UTF-8" standalone="yes"?>
<Relationships xmlns="http://schemas.openxmlformats.org/package/2006/relationships"><Relationship Id="rId2" Type="http://schemas.microsoft.com/office/2011/relationships/chartColorStyle" Target="colors74.xml"/><Relationship Id="rId1" Type="http://schemas.microsoft.com/office/2011/relationships/chartStyle" Target="style74.xml"/></Relationships>
</file>

<file path=xl/charts/_rels/chart75.xml.rels><?xml version="1.0" encoding="UTF-8" standalone="yes"?>
<Relationships xmlns="http://schemas.openxmlformats.org/package/2006/relationships"><Relationship Id="rId2" Type="http://schemas.microsoft.com/office/2011/relationships/chartColorStyle" Target="colors75.xml"/><Relationship Id="rId1" Type="http://schemas.microsoft.com/office/2011/relationships/chartStyle" Target="style75.xml"/></Relationships>
</file>

<file path=xl/charts/_rels/chart76.xml.rels><?xml version="1.0" encoding="UTF-8" standalone="yes"?>
<Relationships xmlns="http://schemas.openxmlformats.org/package/2006/relationships"><Relationship Id="rId2" Type="http://schemas.microsoft.com/office/2011/relationships/chartColorStyle" Target="colors76.xml"/><Relationship Id="rId1" Type="http://schemas.microsoft.com/office/2011/relationships/chartStyle" Target="style76.xml"/></Relationships>
</file>

<file path=xl/charts/_rels/chart77.xml.rels><?xml version="1.0" encoding="UTF-8" standalone="yes"?>
<Relationships xmlns="http://schemas.openxmlformats.org/package/2006/relationships"><Relationship Id="rId2" Type="http://schemas.microsoft.com/office/2011/relationships/chartColorStyle" Target="colors77.xml"/><Relationship Id="rId1" Type="http://schemas.microsoft.com/office/2011/relationships/chartStyle" Target="style77.xml"/></Relationships>
</file>

<file path=xl/charts/_rels/chart78.xml.rels><?xml version="1.0" encoding="UTF-8" standalone="yes"?>
<Relationships xmlns="http://schemas.openxmlformats.org/package/2006/relationships"><Relationship Id="rId2" Type="http://schemas.microsoft.com/office/2011/relationships/chartColorStyle" Target="colors78.xml"/><Relationship Id="rId1" Type="http://schemas.microsoft.com/office/2011/relationships/chartStyle" Target="style78.xml"/></Relationships>
</file>

<file path=xl/charts/_rels/chart79.xml.rels><?xml version="1.0" encoding="UTF-8" standalone="yes"?>
<Relationships xmlns="http://schemas.openxmlformats.org/package/2006/relationships"><Relationship Id="rId2" Type="http://schemas.microsoft.com/office/2011/relationships/chartColorStyle" Target="colors79.xml"/><Relationship Id="rId1" Type="http://schemas.microsoft.com/office/2011/relationships/chartStyle" Target="style79.xml"/></Relationships>
</file>

<file path=xl/charts/_rels/chart80.xml.rels><?xml version="1.0" encoding="UTF-8" standalone="yes"?>
<Relationships xmlns="http://schemas.openxmlformats.org/package/2006/relationships"><Relationship Id="rId2" Type="http://schemas.microsoft.com/office/2011/relationships/chartColorStyle" Target="colors80.xml"/><Relationship Id="rId1" Type="http://schemas.microsoft.com/office/2011/relationships/chartStyle" Target="style80.xml"/></Relationships>
</file>

<file path=xl/charts/_rels/chart81.xml.rels><?xml version="1.0" encoding="UTF-8" standalone="yes"?>
<Relationships xmlns="http://schemas.openxmlformats.org/package/2006/relationships"><Relationship Id="rId2" Type="http://schemas.microsoft.com/office/2011/relationships/chartColorStyle" Target="colors81.xml"/><Relationship Id="rId1" Type="http://schemas.microsoft.com/office/2011/relationships/chartStyle" Target="style81.xml"/></Relationships>
</file>

<file path=xl/charts/_rels/chart82.xml.rels><?xml version="1.0" encoding="UTF-8" standalone="yes"?>
<Relationships xmlns="http://schemas.openxmlformats.org/package/2006/relationships"><Relationship Id="rId2" Type="http://schemas.microsoft.com/office/2011/relationships/chartColorStyle" Target="colors82.xml"/><Relationship Id="rId1" Type="http://schemas.microsoft.com/office/2011/relationships/chartStyle" Target="style82.xml"/></Relationships>
</file>

<file path=xl/charts/_rels/chart83.xml.rels><?xml version="1.0" encoding="UTF-8" standalone="yes"?>
<Relationships xmlns="http://schemas.openxmlformats.org/package/2006/relationships"><Relationship Id="rId2" Type="http://schemas.microsoft.com/office/2011/relationships/chartColorStyle" Target="colors83.xml"/><Relationship Id="rId1" Type="http://schemas.microsoft.com/office/2011/relationships/chartStyle" Target="style83.xml"/></Relationships>
</file>

<file path=xl/charts/_rels/chart84.xml.rels><?xml version="1.0" encoding="UTF-8" standalone="yes"?>
<Relationships xmlns="http://schemas.openxmlformats.org/package/2006/relationships"><Relationship Id="rId2" Type="http://schemas.microsoft.com/office/2011/relationships/chartColorStyle" Target="colors84.xml"/><Relationship Id="rId1" Type="http://schemas.microsoft.com/office/2011/relationships/chartStyle" Target="style84.xml"/></Relationships>
</file>

<file path=xl/charts/_rels/chart85.xml.rels><?xml version="1.0" encoding="UTF-8" standalone="yes"?>
<Relationships xmlns="http://schemas.openxmlformats.org/package/2006/relationships"><Relationship Id="rId2" Type="http://schemas.microsoft.com/office/2011/relationships/chartColorStyle" Target="colors85.xml"/><Relationship Id="rId1" Type="http://schemas.microsoft.com/office/2011/relationships/chartStyle" Target="style85.xml"/></Relationships>
</file>

<file path=xl/charts/_rels/chart86.xml.rels><?xml version="1.0" encoding="UTF-8" standalone="yes"?>
<Relationships xmlns="http://schemas.openxmlformats.org/package/2006/relationships"><Relationship Id="rId2" Type="http://schemas.microsoft.com/office/2011/relationships/chartColorStyle" Target="colors86.xml"/><Relationship Id="rId1" Type="http://schemas.microsoft.com/office/2011/relationships/chartStyle" Target="style86.xml"/></Relationships>
</file>

<file path=xl/charts/_rels/chart87.xml.rels><?xml version="1.0" encoding="UTF-8" standalone="yes"?>
<Relationships xmlns="http://schemas.openxmlformats.org/package/2006/relationships"><Relationship Id="rId2" Type="http://schemas.microsoft.com/office/2011/relationships/chartColorStyle" Target="colors87.xml"/><Relationship Id="rId1" Type="http://schemas.microsoft.com/office/2011/relationships/chartStyle" Target="style87.xml"/></Relationships>
</file>

<file path=xl/charts/_rels/chart88.xml.rels><?xml version="1.0" encoding="UTF-8" standalone="yes"?>
<Relationships xmlns="http://schemas.openxmlformats.org/package/2006/relationships"><Relationship Id="rId2" Type="http://schemas.microsoft.com/office/2011/relationships/chartColorStyle" Target="colors88.xml"/><Relationship Id="rId1" Type="http://schemas.microsoft.com/office/2011/relationships/chartStyle" Target="style88.xml"/></Relationships>
</file>

<file path=xl/charts/_rels/chart89.xml.rels><?xml version="1.0" encoding="UTF-8" standalone="yes"?>
<Relationships xmlns="http://schemas.openxmlformats.org/package/2006/relationships"><Relationship Id="rId2" Type="http://schemas.microsoft.com/office/2011/relationships/chartColorStyle" Target="colors89.xml"/><Relationship Id="rId1" Type="http://schemas.microsoft.com/office/2011/relationships/chartStyle" Target="style89.xml"/></Relationships>
</file>

<file path=xl/charts/_rels/chart90.xml.rels><?xml version="1.0" encoding="UTF-8" standalone="yes"?>
<Relationships xmlns="http://schemas.openxmlformats.org/package/2006/relationships"><Relationship Id="rId2" Type="http://schemas.microsoft.com/office/2011/relationships/chartColorStyle" Target="colors90.xml"/><Relationship Id="rId1" Type="http://schemas.microsoft.com/office/2011/relationships/chartStyle" Target="style90.xml"/></Relationships>
</file>

<file path=xl/charts/_rels/chart91.xml.rels><?xml version="1.0" encoding="UTF-8" standalone="yes"?>
<Relationships xmlns="http://schemas.openxmlformats.org/package/2006/relationships"><Relationship Id="rId2" Type="http://schemas.microsoft.com/office/2011/relationships/chartColorStyle" Target="colors91.xml"/><Relationship Id="rId1" Type="http://schemas.microsoft.com/office/2011/relationships/chartStyle" Target="style91.xml"/></Relationships>
</file>

<file path=xl/charts/_rels/chart92.xml.rels><?xml version="1.0" encoding="UTF-8" standalone="yes"?>
<Relationships xmlns="http://schemas.openxmlformats.org/package/2006/relationships"><Relationship Id="rId2" Type="http://schemas.microsoft.com/office/2011/relationships/chartColorStyle" Target="colors92.xml"/><Relationship Id="rId1" Type="http://schemas.microsoft.com/office/2011/relationships/chartStyle" Target="style92.xml"/></Relationships>
</file>

<file path=xl/charts/_rels/chart93.xml.rels><?xml version="1.0" encoding="UTF-8" standalone="yes"?>
<Relationships xmlns="http://schemas.openxmlformats.org/package/2006/relationships"><Relationship Id="rId2" Type="http://schemas.microsoft.com/office/2011/relationships/chartColorStyle" Target="colors93.xml"/><Relationship Id="rId1" Type="http://schemas.microsoft.com/office/2011/relationships/chartStyle" Target="style93.xml"/></Relationships>
</file>

<file path=xl/charts/_rels/chart94.xml.rels><?xml version="1.0" encoding="UTF-8" standalone="yes"?>
<Relationships xmlns="http://schemas.openxmlformats.org/package/2006/relationships"><Relationship Id="rId2" Type="http://schemas.microsoft.com/office/2011/relationships/chartColorStyle" Target="colors94.xml"/><Relationship Id="rId1" Type="http://schemas.microsoft.com/office/2011/relationships/chartStyle" Target="style94.xml"/></Relationships>
</file>

<file path=xl/charts/_rels/chart95.xml.rels><?xml version="1.0" encoding="UTF-8" standalone="yes"?>
<Relationships xmlns="http://schemas.openxmlformats.org/package/2006/relationships"><Relationship Id="rId2" Type="http://schemas.microsoft.com/office/2011/relationships/chartColorStyle" Target="colors95.xml"/><Relationship Id="rId1" Type="http://schemas.microsoft.com/office/2011/relationships/chartStyle" Target="style95.xml"/></Relationships>
</file>

<file path=xl/charts/_rels/chart96.xml.rels><?xml version="1.0" encoding="UTF-8" standalone="yes"?>
<Relationships xmlns="http://schemas.openxmlformats.org/package/2006/relationships"><Relationship Id="rId2" Type="http://schemas.microsoft.com/office/2011/relationships/chartColorStyle" Target="colors96.xml"/><Relationship Id="rId1" Type="http://schemas.microsoft.com/office/2011/relationships/chartStyle" Target="style96.xml"/></Relationships>
</file>

<file path=xl/charts/_rels/chart97.xml.rels><?xml version="1.0" encoding="UTF-8" standalone="yes"?>
<Relationships xmlns="http://schemas.openxmlformats.org/package/2006/relationships"><Relationship Id="rId2" Type="http://schemas.microsoft.com/office/2011/relationships/chartColorStyle" Target="colors97.xml"/><Relationship Id="rId1" Type="http://schemas.microsoft.com/office/2011/relationships/chartStyle" Target="style97.xml"/></Relationships>
</file>

<file path=xl/charts/_rels/chart98.xml.rels><?xml version="1.0" encoding="UTF-8" standalone="yes"?>
<Relationships xmlns="http://schemas.openxmlformats.org/package/2006/relationships"><Relationship Id="rId2" Type="http://schemas.microsoft.com/office/2011/relationships/chartColorStyle" Target="colors98.xml"/><Relationship Id="rId1" Type="http://schemas.microsoft.com/office/2011/relationships/chartStyle" Target="style98.xml"/></Relationships>
</file>

<file path=xl/charts/_rels/chart99.xml.rels><?xml version="1.0" encoding="UTF-8" standalone="yes"?>
<Relationships xmlns="http://schemas.openxmlformats.org/package/2006/relationships"><Relationship Id="rId2" Type="http://schemas.microsoft.com/office/2011/relationships/chartColorStyle" Target="colors99.xml"/><Relationship Id="rId1" Type="http://schemas.microsoft.com/office/2011/relationships/chartStyle" Target="style99.xml"/></Relationships>
</file>

<file path=xl/charts/_rels/chart100.xml.rels><?xml version="1.0" encoding="UTF-8" standalone="yes"?>
<Relationships xmlns="http://schemas.openxmlformats.org/package/2006/relationships"><Relationship Id="rId2" Type="http://schemas.microsoft.com/office/2011/relationships/chartColorStyle" Target="colors100.xml"/><Relationship Id="rId1" Type="http://schemas.microsoft.com/office/2011/relationships/chartStyle" Target="style100.xml"/></Relationships>
</file>

<file path=xl/charts/_rels/chart101.xml.rels><?xml version="1.0" encoding="UTF-8" standalone="yes"?>
<Relationships xmlns="http://schemas.openxmlformats.org/package/2006/relationships"><Relationship Id="rId2" Type="http://schemas.microsoft.com/office/2011/relationships/chartColorStyle" Target="colors101.xml"/><Relationship Id="rId1" Type="http://schemas.microsoft.com/office/2011/relationships/chartStyle" Target="style101.xml"/></Relationships>
</file>

<file path=xl/charts/_rels/chart102.xml.rels><?xml version="1.0" encoding="UTF-8" standalone="yes"?>
<Relationships xmlns="http://schemas.openxmlformats.org/package/2006/relationships"><Relationship Id="rId2" Type="http://schemas.microsoft.com/office/2011/relationships/chartColorStyle" Target="colors102.xml"/><Relationship Id="rId1" Type="http://schemas.microsoft.com/office/2011/relationships/chartStyle" Target="style102.xml"/></Relationships>
</file>

<file path=xl/charts/_rels/chart103.xml.rels><?xml version="1.0" encoding="UTF-8" standalone="yes"?>
<Relationships xmlns="http://schemas.openxmlformats.org/package/2006/relationships"><Relationship Id="rId2" Type="http://schemas.microsoft.com/office/2011/relationships/chartColorStyle" Target="colors103.xml"/><Relationship Id="rId1" Type="http://schemas.microsoft.com/office/2011/relationships/chartStyle" Target="style103.xml"/></Relationships>
</file>

<file path=xl/charts/_rels/chart104.xml.rels><?xml version="1.0" encoding="UTF-8" standalone="yes"?>
<Relationships xmlns="http://schemas.openxmlformats.org/package/2006/relationships"><Relationship Id="rId2" Type="http://schemas.microsoft.com/office/2011/relationships/chartColorStyle" Target="colors104.xml"/><Relationship Id="rId1" Type="http://schemas.microsoft.com/office/2011/relationships/chartStyle" Target="style104.xml"/></Relationships>
</file>

<file path=xl/charts/_rels/chart105.xml.rels><?xml version="1.0" encoding="UTF-8" standalone="yes"?>
<Relationships xmlns="http://schemas.openxmlformats.org/package/2006/relationships"><Relationship Id="rId2" Type="http://schemas.microsoft.com/office/2011/relationships/chartColorStyle" Target="colors105.xml"/><Relationship Id="rId1" Type="http://schemas.microsoft.com/office/2011/relationships/chartStyle" Target="style105.xml"/></Relationships>
</file>

<file path=xl/charts/_rels/chart106.xml.rels><?xml version="1.0" encoding="UTF-8" standalone="yes"?>
<Relationships xmlns="http://schemas.openxmlformats.org/package/2006/relationships"><Relationship Id="rId2" Type="http://schemas.microsoft.com/office/2011/relationships/chartColorStyle" Target="colors106.xml"/><Relationship Id="rId1" Type="http://schemas.microsoft.com/office/2011/relationships/chartStyle" Target="style106.xml"/></Relationships>
</file>

<file path=xl/charts/_rels/chart107.xml.rels><?xml version="1.0" encoding="UTF-8" standalone="yes"?>
<Relationships xmlns="http://schemas.openxmlformats.org/package/2006/relationships"><Relationship Id="rId2" Type="http://schemas.microsoft.com/office/2011/relationships/chartColorStyle" Target="colors107.xml"/><Relationship Id="rId1" Type="http://schemas.microsoft.com/office/2011/relationships/chartStyle" Target="style107.xml"/></Relationships>
</file>

<file path=xl/charts/_rels/chart108.xml.rels><?xml version="1.0" encoding="UTF-8" standalone="yes"?>
<Relationships xmlns="http://schemas.openxmlformats.org/package/2006/relationships"><Relationship Id="rId2" Type="http://schemas.microsoft.com/office/2011/relationships/chartColorStyle" Target="colors108.xml"/><Relationship Id="rId1" Type="http://schemas.microsoft.com/office/2011/relationships/chartStyle" Target="style108.xml"/></Relationships>
</file>

<file path=xl/charts/_rels/chart109.xml.rels><?xml version="1.0" encoding="UTF-8" standalone="yes"?>
<Relationships xmlns="http://schemas.openxmlformats.org/package/2006/relationships"><Relationship Id="rId2" Type="http://schemas.microsoft.com/office/2011/relationships/chartColorStyle" Target="colors109.xml"/><Relationship Id="rId1" Type="http://schemas.microsoft.com/office/2011/relationships/chartStyle" Target="style109.xml"/></Relationships>
</file>

<file path=xl/charts/_rels/chart110.xml.rels><?xml version="1.0" encoding="UTF-8" standalone="yes"?>
<Relationships xmlns="http://schemas.openxmlformats.org/package/2006/relationships"><Relationship Id="rId2" Type="http://schemas.microsoft.com/office/2011/relationships/chartColorStyle" Target="colors110.xml"/><Relationship Id="rId1" Type="http://schemas.microsoft.com/office/2011/relationships/chartStyle" Target="style110.xml"/></Relationships>
</file>

<file path=xl/charts/_rels/chart111.xml.rels><?xml version="1.0" encoding="UTF-8" standalone="yes"?>
<Relationships xmlns="http://schemas.openxmlformats.org/package/2006/relationships"><Relationship Id="rId2" Type="http://schemas.microsoft.com/office/2011/relationships/chartColorStyle" Target="colors111.xml"/><Relationship Id="rId1" Type="http://schemas.microsoft.com/office/2011/relationships/chartStyle" Target="style111.xml"/></Relationships>
</file>

<file path=xl/charts/_rels/chart112.xml.rels><?xml version="1.0" encoding="UTF-8" standalone="yes"?>
<Relationships xmlns="http://schemas.openxmlformats.org/package/2006/relationships"><Relationship Id="rId2" Type="http://schemas.microsoft.com/office/2011/relationships/chartColorStyle" Target="colors112.xml"/><Relationship Id="rId1" Type="http://schemas.microsoft.com/office/2011/relationships/chartStyle" Target="style112.xml"/></Relationships>
</file>

<file path=xl/charts/_rels/chart113.xml.rels><?xml version="1.0" encoding="UTF-8" standalone="yes"?>
<Relationships xmlns="http://schemas.openxmlformats.org/package/2006/relationships"><Relationship Id="rId2" Type="http://schemas.microsoft.com/office/2011/relationships/chartColorStyle" Target="colors113.xml"/><Relationship Id="rId1" Type="http://schemas.microsoft.com/office/2011/relationships/chartStyle" Target="style113.xml"/></Relationships>
</file>

<file path=xl/charts/_rels/chart114.xml.rels><?xml version="1.0" encoding="UTF-8" standalone="yes"?>
<Relationships xmlns="http://schemas.openxmlformats.org/package/2006/relationships"><Relationship Id="rId2" Type="http://schemas.microsoft.com/office/2011/relationships/chartColorStyle" Target="colors114.xml"/><Relationship Id="rId1" Type="http://schemas.microsoft.com/office/2011/relationships/chartStyle" Target="style114.xml"/></Relationships>
</file>

<file path=xl/charts/_rels/chart115.xml.rels><?xml version="1.0" encoding="UTF-8" standalone="yes"?>
<Relationships xmlns="http://schemas.openxmlformats.org/package/2006/relationships"><Relationship Id="rId2" Type="http://schemas.microsoft.com/office/2011/relationships/chartColorStyle" Target="colors115.xml"/><Relationship Id="rId1" Type="http://schemas.microsoft.com/office/2011/relationships/chartStyle" Target="style115.xml"/></Relationships>
</file>

<file path=xl/charts/_rels/chart116.xml.rels><?xml version="1.0" encoding="UTF-8" standalone="yes"?>
<Relationships xmlns="http://schemas.openxmlformats.org/package/2006/relationships"><Relationship Id="rId2" Type="http://schemas.microsoft.com/office/2011/relationships/chartColorStyle" Target="colors116.xml"/><Relationship Id="rId1" Type="http://schemas.microsoft.com/office/2011/relationships/chartStyle" Target="style116.xml"/></Relationships>
</file>

<file path=xl/charts/_rels/chart117.xml.rels><?xml version="1.0" encoding="UTF-8" standalone="yes"?>
<Relationships xmlns="http://schemas.openxmlformats.org/package/2006/relationships"><Relationship Id="rId2" Type="http://schemas.microsoft.com/office/2011/relationships/chartColorStyle" Target="colors117.xml"/><Relationship Id="rId1" Type="http://schemas.microsoft.com/office/2011/relationships/chartStyle" Target="style117.xml"/></Relationships>
</file>

<file path=xl/charts/_rels/chart118.xml.rels><?xml version="1.0" encoding="UTF-8" standalone="yes"?>
<Relationships xmlns="http://schemas.openxmlformats.org/package/2006/relationships"><Relationship Id="rId2" Type="http://schemas.microsoft.com/office/2011/relationships/chartColorStyle" Target="colors118.xml"/><Relationship Id="rId1" Type="http://schemas.microsoft.com/office/2011/relationships/chartStyle" Target="style118.xml"/></Relationships>
</file>

<file path=xl/charts/_rels/chart119.xml.rels><?xml version="1.0" encoding="UTF-8" standalone="yes"?>
<Relationships xmlns="http://schemas.openxmlformats.org/package/2006/relationships"><Relationship Id="rId2" Type="http://schemas.microsoft.com/office/2011/relationships/chartColorStyle" Target="colors119.xml"/><Relationship Id="rId1" Type="http://schemas.microsoft.com/office/2011/relationships/chartStyle" Target="style119.xml"/></Relationships>
</file>

<file path=xl/charts/_rels/chart120.xml.rels><?xml version="1.0" encoding="UTF-8" standalone="yes"?>
<Relationships xmlns="http://schemas.openxmlformats.org/package/2006/relationships"><Relationship Id="rId2" Type="http://schemas.microsoft.com/office/2011/relationships/chartColorStyle" Target="colors120.xml"/><Relationship Id="rId1" Type="http://schemas.microsoft.com/office/2011/relationships/chartStyle" Target="style120.xml"/></Relationships>
</file>

<file path=xl/charts/_rels/chart121.xml.rels><?xml version="1.0" encoding="UTF-8" standalone="yes"?>
<Relationships xmlns="http://schemas.openxmlformats.org/package/2006/relationships"><Relationship Id="rId2" Type="http://schemas.microsoft.com/office/2011/relationships/chartColorStyle" Target="colors121.xml"/><Relationship Id="rId1" Type="http://schemas.microsoft.com/office/2011/relationships/chartStyle" Target="style121.xml"/></Relationships>
</file>

<file path=xl/charts/_rels/chart122.xml.rels><?xml version="1.0" encoding="UTF-8" standalone="yes"?>
<Relationships xmlns="http://schemas.openxmlformats.org/package/2006/relationships"><Relationship Id="rId2" Type="http://schemas.microsoft.com/office/2011/relationships/chartColorStyle" Target="colors122.xml"/><Relationship Id="rId1" Type="http://schemas.microsoft.com/office/2011/relationships/chartStyle" Target="style122.xml"/></Relationships>
</file>

<file path=xl/charts/_rels/chart123.xml.rels><?xml version="1.0" encoding="UTF-8" standalone="yes"?>
<Relationships xmlns="http://schemas.openxmlformats.org/package/2006/relationships"><Relationship Id="rId2" Type="http://schemas.microsoft.com/office/2011/relationships/chartColorStyle" Target="colors123.xml"/><Relationship Id="rId1" Type="http://schemas.microsoft.com/office/2011/relationships/chartStyle" Target="style123.xml"/></Relationships>
</file>

<file path=xl/charts/_rels/chart124.xml.rels><?xml version="1.0" encoding="UTF-8" standalone="yes"?>
<Relationships xmlns="http://schemas.openxmlformats.org/package/2006/relationships"><Relationship Id="rId2" Type="http://schemas.microsoft.com/office/2011/relationships/chartColorStyle" Target="colors124.xml"/><Relationship Id="rId1" Type="http://schemas.microsoft.com/office/2011/relationships/chartStyle" Target="style124.xml"/></Relationships>
</file>

<file path=xl/charts/_rels/chart125.xml.rels><?xml version="1.0" encoding="UTF-8" standalone="yes"?>
<Relationships xmlns="http://schemas.openxmlformats.org/package/2006/relationships"><Relationship Id="rId2" Type="http://schemas.microsoft.com/office/2011/relationships/chartColorStyle" Target="colors125.xml"/><Relationship Id="rId1" Type="http://schemas.microsoft.com/office/2011/relationships/chartStyle" Target="style125.xml"/></Relationships>
</file>

<file path=xl/charts/_rels/chart126.xml.rels><?xml version="1.0" encoding="UTF-8" standalone="yes"?>
<Relationships xmlns="http://schemas.openxmlformats.org/package/2006/relationships"><Relationship Id="rId2" Type="http://schemas.microsoft.com/office/2011/relationships/chartColorStyle" Target="colors126.xml"/><Relationship Id="rId1" Type="http://schemas.microsoft.com/office/2011/relationships/chartStyle" Target="style126.xml"/></Relationships>
</file>

<file path=xl/charts/_rels/chart127.xml.rels><?xml version="1.0" encoding="UTF-8" standalone="yes"?>
<Relationships xmlns="http://schemas.openxmlformats.org/package/2006/relationships"><Relationship Id="rId2" Type="http://schemas.microsoft.com/office/2011/relationships/chartColorStyle" Target="colors127.xml"/><Relationship Id="rId1" Type="http://schemas.microsoft.com/office/2011/relationships/chartStyle" Target="style127.xml"/></Relationships>
</file>

<file path=xl/charts/_rels/chart128.xml.rels><?xml version="1.0" encoding="UTF-8" standalone="yes"?>
<Relationships xmlns="http://schemas.openxmlformats.org/package/2006/relationships"><Relationship Id="rId2" Type="http://schemas.microsoft.com/office/2011/relationships/chartColorStyle" Target="colors128.xml"/><Relationship Id="rId1" Type="http://schemas.microsoft.com/office/2011/relationships/chartStyle" Target="style12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Helvetica" panose="020B0604020202020204" pitchFamily="34" charset="0"/>
                <a:ea typeface="+mn-ea"/>
                <a:cs typeface="Helvetica" panose="020B0604020202020204" pitchFamily="34" charset="0"/>
              </a:defRPr>
            </a:pPr>
            <a:r>
              <a:rPr lang="en-US"/>
              <a:t>Historical </a:t>
            </a:r>
            <a:r>
              <a:rPr lang="en-US" sz="1400" b="0" i="0" u="none" strike="noStrike" baseline="0">
                <a:effectLst/>
              </a:rPr>
              <a:t>Annual </a:t>
            </a:r>
            <a:r>
              <a:rPr lang="en-US"/>
              <a:t>Demand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Helvetica" panose="020B0604020202020204" pitchFamily="34" charset="0"/>
              <a:ea typeface="+mn-ea"/>
              <a:cs typeface="Helvetica" panose="020B0604020202020204" pitchFamily="34" charset="0"/>
            </a:defRPr>
          </a:pPr>
          <a:endParaRPr lang="en-US"/>
        </a:p>
      </c:txPr>
    </c:title>
    <c:autoTitleDeleted val="0"/>
    <c:plotArea>
      <c:layout/>
      <c:barChart>
        <c:barDir val="col"/>
        <c:grouping val="stacked"/>
        <c:varyColors val="0"/>
        <c:ser>
          <c:idx val="0"/>
          <c:order val="0"/>
          <c:tx>
            <c:strRef>
              <c:f>Main!$C$81</c:f>
              <c:strCache>
                <c:ptCount val="1"/>
                <c:pt idx="0">
                  <c:v>ADD Direct to Earth (DTE)</c:v>
                </c:pt>
              </c:strCache>
            </c:strRef>
          </c:tx>
          <c:spPr>
            <a:solidFill>
              <a:schemeClr val="accent1"/>
            </a:solidFill>
            <a:ln>
              <a:noFill/>
            </a:ln>
            <a:effectLst/>
          </c:spPr>
          <c:invertIfNegative val="0"/>
          <c:cat>
            <c:strRef>
              <c:f>Main!$D$80:$F$80</c:f>
              <c:strCache>
                <c:ptCount val="3"/>
                <c:pt idx="0">
                  <c:v>Low</c:v>
                </c:pt>
                <c:pt idx="1">
                  <c:v>Baseline</c:v>
                </c:pt>
                <c:pt idx="2">
                  <c:v>High</c:v>
                </c:pt>
              </c:strCache>
            </c:strRef>
          </c:cat>
          <c:val>
            <c:numRef>
              <c:f>Main!$D$81:$F$81</c:f>
              <c:numCache>
                <c:formatCode>_(* #,##0_);_(* \(#,##0\);_(* "-"??_);_(@_)</c:formatCode>
                <c:ptCount val="3"/>
                <c:pt idx="0">
                  <c:v>0</c:v>
                </c:pt>
                <c:pt idx="1">
                  <c:v>392081.6</c:v>
                </c:pt>
                <c:pt idx="2">
                  <c:v>0</c:v>
                </c:pt>
              </c:numCache>
            </c:numRef>
          </c:val>
          <c:extLst>
            <c:ext xmlns:c16="http://schemas.microsoft.com/office/drawing/2014/chart" uri="{C3380CC4-5D6E-409C-BE32-E72D297353CC}">
              <c16:uniqueId val="{00000000-CDCC-49E9-BADC-B243FE05C60E}"/>
            </c:ext>
          </c:extLst>
        </c:ser>
        <c:ser>
          <c:idx val="1"/>
          <c:order val="1"/>
          <c:tx>
            <c:strRef>
              <c:f>Main!$C$82</c:f>
              <c:strCache>
                <c:ptCount val="1"/>
                <c:pt idx="0">
                  <c:v>ADD Space Relay (SR)</c:v>
                </c:pt>
              </c:strCache>
            </c:strRef>
          </c:tx>
          <c:spPr>
            <a:solidFill>
              <a:schemeClr val="accent2"/>
            </a:solidFill>
            <a:ln>
              <a:noFill/>
            </a:ln>
            <a:effectLst/>
          </c:spPr>
          <c:invertIfNegative val="0"/>
          <c:cat>
            <c:strRef>
              <c:f>Main!$D$80:$F$80</c:f>
              <c:strCache>
                <c:ptCount val="3"/>
                <c:pt idx="0">
                  <c:v>Low</c:v>
                </c:pt>
                <c:pt idx="1">
                  <c:v>Baseline</c:v>
                </c:pt>
                <c:pt idx="2">
                  <c:v>High</c:v>
                </c:pt>
              </c:strCache>
            </c:strRef>
          </c:cat>
          <c:val>
            <c:numRef>
              <c:f>Main!$D$82:$F$82</c:f>
              <c:numCache>
                <c:formatCode>_(* #,##0_);_(* \(#,##0\);_(* "-"??_);_(@_)</c:formatCode>
                <c:ptCount val="3"/>
                <c:pt idx="0">
                  <c:v>0</c:v>
                </c:pt>
                <c:pt idx="1">
                  <c:v>2146833.846153846</c:v>
                </c:pt>
                <c:pt idx="2">
                  <c:v>0</c:v>
                </c:pt>
              </c:numCache>
            </c:numRef>
          </c:val>
          <c:extLst>
            <c:ext xmlns:c16="http://schemas.microsoft.com/office/drawing/2014/chart" uri="{C3380CC4-5D6E-409C-BE32-E72D297353CC}">
              <c16:uniqueId val="{00000001-CDCC-49E9-BADC-B243FE05C60E}"/>
            </c:ext>
          </c:extLst>
        </c:ser>
        <c:ser>
          <c:idx val="2"/>
          <c:order val="2"/>
          <c:tx>
            <c:strRef>
              <c:f>Main!$C$83</c:f>
              <c:strCache>
                <c:ptCount val="1"/>
                <c:pt idx="0">
                  <c:v>ADD Launch Events (LE)</c:v>
                </c:pt>
              </c:strCache>
            </c:strRef>
          </c:tx>
          <c:spPr>
            <a:solidFill>
              <a:schemeClr val="accent3"/>
            </a:solidFill>
            <a:ln>
              <a:noFill/>
            </a:ln>
            <a:effectLst/>
          </c:spPr>
          <c:invertIfNegative val="0"/>
          <c:cat>
            <c:strRef>
              <c:f>Main!$D$80:$F$80</c:f>
              <c:strCache>
                <c:ptCount val="3"/>
                <c:pt idx="0">
                  <c:v>Low</c:v>
                </c:pt>
                <c:pt idx="1">
                  <c:v>Baseline</c:v>
                </c:pt>
                <c:pt idx="2">
                  <c:v>High</c:v>
                </c:pt>
              </c:strCache>
            </c:strRef>
          </c:cat>
          <c:val>
            <c:numRef>
              <c:f>Main!$D$83:$F$83</c:f>
              <c:numCache>
                <c:formatCode>_(* #,##0_);_(* \(#,##0\);_(* "-"??_);_(@_)</c:formatCode>
                <c:ptCount val="3"/>
                <c:pt idx="0">
                  <c:v>0</c:v>
                </c:pt>
                <c:pt idx="1">
                  <c:v>4186326</c:v>
                </c:pt>
                <c:pt idx="2">
                  <c:v>0</c:v>
                </c:pt>
              </c:numCache>
            </c:numRef>
          </c:val>
          <c:extLst>
            <c:ext xmlns:c16="http://schemas.microsoft.com/office/drawing/2014/chart" uri="{C3380CC4-5D6E-409C-BE32-E72D297353CC}">
              <c16:uniqueId val="{00000002-CDCC-49E9-BADC-B243FE05C60E}"/>
            </c:ext>
          </c:extLst>
        </c:ser>
        <c:ser>
          <c:idx val="3"/>
          <c:order val="3"/>
          <c:tx>
            <c:strRef>
              <c:f>Main!$C$84</c:f>
              <c:strCache>
                <c:ptCount val="1"/>
                <c:pt idx="0">
                  <c:v>FDDN Direct to Earth (DTE)</c:v>
                </c:pt>
              </c:strCache>
            </c:strRef>
          </c:tx>
          <c:spPr>
            <a:solidFill>
              <a:schemeClr val="accent4"/>
            </a:solidFill>
            <a:ln>
              <a:noFill/>
            </a:ln>
            <a:effectLst/>
          </c:spPr>
          <c:invertIfNegative val="0"/>
          <c:cat>
            <c:strRef>
              <c:f>Main!$D$80:$F$80</c:f>
              <c:strCache>
                <c:ptCount val="3"/>
                <c:pt idx="0">
                  <c:v>Low</c:v>
                </c:pt>
                <c:pt idx="1">
                  <c:v>Baseline</c:v>
                </c:pt>
                <c:pt idx="2">
                  <c:v>High</c:v>
                </c:pt>
              </c:strCache>
            </c:strRef>
          </c:cat>
          <c:val>
            <c:numRef>
              <c:f>Main!$D$84:$F$84</c:f>
              <c:numCache>
                <c:formatCode>_(* #,##0_);_(* \(#,##0\);_(* "-"??_);_(@_)</c:formatCode>
                <c:ptCount val="3"/>
                <c:pt idx="0">
                  <c:v>0</c:v>
                </c:pt>
                <c:pt idx="1">
                  <c:v>359408.1333333333</c:v>
                </c:pt>
                <c:pt idx="2">
                  <c:v>0</c:v>
                </c:pt>
              </c:numCache>
            </c:numRef>
          </c:val>
          <c:extLst>
            <c:ext xmlns:c16="http://schemas.microsoft.com/office/drawing/2014/chart" uri="{C3380CC4-5D6E-409C-BE32-E72D297353CC}">
              <c16:uniqueId val="{00000003-CDCC-49E9-BADC-B243FE05C60E}"/>
            </c:ext>
          </c:extLst>
        </c:ser>
        <c:ser>
          <c:idx val="4"/>
          <c:order val="4"/>
          <c:tx>
            <c:strRef>
              <c:f>Main!$C$85</c:f>
              <c:strCache>
                <c:ptCount val="1"/>
                <c:pt idx="0">
                  <c:v>FDDN Space Relay (SR)</c:v>
                </c:pt>
              </c:strCache>
            </c:strRef>
          </c:tx>
          <c:spPr>
            <a:solidFill>
              <a:schemeClr val="accent5"/>
            </a:solidFill>
            <a:ln>
              <a:noFill/>
            </a:ln>
            <a:effectLst/>
          </c:spPr>
          <c:invertIfNegative val="0"/>
          <c:cat>
            <c:strRef>
              <c:f>Main!$D$80:$F$80</c:f>
              <c:strCache>
                <c:ptCount val="3"/>
                <c:pt idx="0">
                  <c:v>Low</c:v>
                </c:pt>
                <c:pt idx="1">
                  <c:v>Baseline</c:v>
                </c:pt>
                <c:pt idx="2">
                  <c:v>High</c:v>
                </c:pt>
              </c:strCache>
            </c:strRef>
          </c:cat>
          <c:val>
            <c:numRef>
              <c:f>Main!$D$85:$F$85</c:f>
              <c:numCache>
                <c:formatCode>_(* #,##0_);_(* \(#,##0\);_(* "-"??_);_(@_)</c:formatCode>
                <c:ptCount val="3"/>
                <c:pt idx="0">
                  <c:v>0</c:v>
                </c:pt>
                <c:pt idx="1">
                  <c:v>1502783.6923076923</c:v>
                </c:pt>
                <c:pt idx="2">
                  <c:v>0</c:v>
                </c:pt>
              </c:numCache>
            </c:numRef>
          </c:val>
          <c:extLst>
            <c:ext xmlns:c16="http://schemas.microsoft.com/office/drawing/2014/chart" uri="{C3380CC4-5D6E-409C-BE32-E72D297353CC}">
              <c16:uniqueId val="{00000004-CDCC-49E9-BADC-B243FE05C60E}"/>
            </c:ext>
          </c:extLst>
        </c:ser>
        <c:dLbls>
          <c:showLegendKey val="0"/>
          <c:showVal val="0"/>
          <c:showCatName val="0"/>
          <c:showSerName val="0"/>
          <c:showPercent val="0"/>
          <c:showBubbleSize val="0"/>
        </c:dLbls>
        <c:gapWidth val="150"/>
        <c:overlap val="100"/>
        <c:axId val="1149951456"/>
        <c:axId val="1149952704"/>
      </c:barChart>
      <c:lineChart>
        <c:grouping val="standard"/>
        <c:varyColors val="0"/>
        <c:ser>
          <c:idx val="5"/>
          <c:order val="5"/>
          <c:tx>
            <c:strRef>
              <c:f>Main!$C$86</c:f>
              <c:strCache>
                <c:ptCount val="1"/>
                <c:pt idx="0">
                  <c:v>Total</c:v>
                </c:pt>
              </c:strCache>
            </c:strRef>
          </c:tx>
          <c:spPr>
            <a:ln w="28575" cap="rnd">
              <a:noFill/>
              <a:round/>
            </a:ln>
            <a:effectLst/>
          </c:spPr>
          <c:marker>
            <c:symbol val="none"/>
          </c:marker>
          <c:dLbls>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Helvetica" panose="020B0604020202020204" pitchFamily="34" charset="0"/>
                    <a:ea typeface="+mn-ea"/>
                    <a:cs typeface="Helvetica" panose="020B0604020202020204" pitchFamily="34" charset="0"/>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Main!$D$80:$F$80</c:f>
              <c:strCache>
                <c:ptCount val="3"/>
                <c:pt idx="0">
                  <c:v>Low</c:v>
                </c:pt>
                <c:pt idx="1">
                  <c:v>Baseline</c:v>
                </c:pt>
                <c:pt idx="2">
                  <c:v>High</c:v>
                </c:pt>
              </c:strCache>
            </c:strRef>
          </c:cat>
          <c:val>
            <c:numRef>
              <c:f>Main!$D$86:$F$86</c:f>
              <c:numCache>
                <c:formatCode>_(* #,##0_);_(* \(#,##0\);_(* "-"??_);_(@_)</c:formatCode>
                <c:ptCount val="3"/>
                <c:pt idx="0">
                  <c:v>0</c:v>
                </c:pt>
                <c:pt idx="1">
                  <c:v>8587433.2717948705</c:v>
                </c:pt>
                <c:pt idx="2">
                  <c:v>0</c:v>
                </c:pt>
              </c:numCache>
            </c:numRef>
          </c:val>
          <c:smooth val="0"/>
          <c:extLst>
            <c:ext xmlns:c16="http://schemas.microsoft.com/office/drawing/2014/chart" uri="{C3380CC4-5D6E-409C-BE32-E72D297353CC}">
              <c16:uniqueId val="{00000005-CDCC-49E9-BADC-B243FE05C60E}"/>
            </c:ext>
          </c:extLst>
        </c:ser>
        <c:dLbls>
          <c:showLegendKey val="0"/>
          <c:showVal val="0"/>
          <c:showCatName val="0"/>
          <c:showSerName val="0"/>
          <c:showPercent val="0"/>
          <c:showBubbleSize val="0"/>
        </c:dLbls>
        <c:marker val="1"/>
        <c:smooth val="0"/>
        <c:axId val="1149951456"/>
        <c:axId val="1149952704"/>
      </c:lineChart>
      <c:catAx>
        <c:axId val="11499514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Helvetica" panose="020B0604020202020204" pitchFamily="34" charset="0"/>
                <a:ea typeface="+mn-ea"/>
                <a:cs typeface="Helvetica" panose="020B0604020202020204" pitchFamily="34" charset="0"/>
              </a:defRPr>
            </a:pPr>
            <a:endParaRPr lang="en-US"/>
          </a:p>
        </c:txPr>
        <c:crossAx val="1149952704"/>
        <c:crosses val="autoZero"/>
        <c:auto val="1"/>
        <c:lblAlgn val="ctr"/>
        <c:lblOffset val="100"/>
        <c:noMultiLvlLbl val="0"/>
      </c:catAx>
      <c:valAx>
        <c:axId val="114995270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Helvetica" panose="020B0604020202020204" pitchFamily="34" charset="0"/>
                    <a:ea typeface="+mn-ea"/>
                    <a:cs typeface="Helvetica" panose="020B0604020202020204" pitchFamily="34" charset="0"/>
                  </a:defRPr>
                </a:pPr>
                <a:r>
                  <a:rPr lang="en-US"/>
                  <a:t>Total Minutes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Helvetica" panose="020B0604020202020204" pitchFamily="34" charset="0"/>
                  <a:ea typeface="+mn-ea"/>
                  <a:cs typeface="Helvetica" panose="020B0604020202020204" pitchFamily="34" charset="0"/>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Helvetica" panose="020B0604020202020204" pitchFamily="34" charset="0"/>
                <a:ea typeface="+mn-ea"/>
                <a:cs typeface="Helvetica" panose="020B0604020202020204" pitchFamily="34" charset="0"/>
              </a:defRPr>
            </a:pPr>
            <a:endParaRPr lang="en-US"/>
          </a:p>
        </c:txPr>
        <c:crossAx val="1149951456"/>
        <c:crosses val="autoZero"/>
        <c:crossBetween val="between"/>
      </c:valAx>
      <c:spPr>
        <a:noFill/>
        <a:ln>
          <a:noFill/>
        </a:ln>
        <a:effectLst/>
      </c:spPr>
    </c:plotArea>
    <c:legend>
      <c:legendPos val="b"/>
      <c:legendEntry>
        <c:idx val="5"/>
        <c:delete val="1"/>
      </c:legendEntry>
      <c:layout>
        <c:manualLayout>
          <c:xMode val="edge"/>
          <c:yMode val="edge"/>
          <c:x val="0"/>
          <c:y val="0.84607367464521743"/>
          <c:w val="1"/>
          <c:h val="0.1285531954992995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Helvetica" panose="020B0604020202020204" pitchFamily="34" charset="0"/>
              <a:ea typeface="+mn-ea"/>
              <a:cs typeface="Helvetica" panose="020B0604020202020204"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latin typeface="Helvetica" panose="020B0604020202020204" pitchFamily="34" charset="0"/>
          <a:cs typeface="Helvetica" panose="020B0604020202020204" pitchFamily="34" charset="0"/>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Helvetica" panose="020B0604020202020204" pitchFamily="34" charset="0"/>
                <a:ea typeface="+mn-ea"/>
                <a:cs typeface="Helvetica" panose="020B0604020202020204" pitchFamily="34" charset="0"/>
              </a:defRPr>
            </a:pPr>
            <a:r>
              <a:rPr lang="en-US" sz="1400" b="0" i="0" baseline="0">
                <a:effectLst/>
              </a:rPr>
              <a:t>Historical Annual Demand </a:t>
            </a:r>
            <a:endParaRPr lang="en-US" sz="1100">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Helvetica" panose="020B0604020202020204" pitchFamily="34" charset="0"/>
              <a:ea typeface="+mn-ea"/>
              <a:cs typeface="Helvetica" panose="020B0604020202020204" pitchFamily="34" charset="0"/>
            </a:defRPr>
          </a:pPr>
          <a:endParaRPr lang="en-US"/>
        </a:p>
      </c:txPr>
    </c:title>
    <c:autoTitleDeleted val="0"/>
    <c:plotArea>
      <c:layout/>
      <c:barChart>
        <c:barDir val="col"/>
        <c:grouping val="stacked"/>
        <c:varyColors val="0"/>
        <c:ser>
          <c:idx val="0"/>
          <c:order val="0"/>
          <c:tx>
            <c:strRef>
              <c:f>Main!$I$81</c:f>
              <c:strCache>
                <c:ptCount val="1"/>
                <c:pt idx="0">
                  <c:v>ADD Direct to Earth (DTE)</c:v>
                </c:pt>
              </c:strCache>
            </c:strRef>
          </c:tx>
          <c:spPr>
            <a:solidFill>
              <a:schemeClr val="accent1"/>
            </a:solidFill>
            <a:ln>
              <a:noFill/>
            </a:ln>
            <a:effectLst/>
          </c:spPr>
          <c:invertIfNegative val="0"/>
          <c:cat>
            <c:strRef>
              <c:f>Main!$J$80:$L$80</c:f>
              <c:strCache>
                <c:ptCount val="3"/>
                <c:pt idx="0">
                  <c:v>Low</c:v>
                </c:pt>
                <c:pt idx="1">
                  <c:v>Baseline</c:v>
                </c:pt>
                <c:pt idx="2">
                  <c:v>High</c:v>
                </c:pt>
              </c:strCache>
            </c:strRef>
          </c:cat>
          <c:val>
            <c:numRef>
              <c:f>Main!$J$81:$L$81</c:f>
              <c:numCache>
                <c:formatCode>_(* #,##0_);_(* \(#,##0\);_(* "-"??_);_(@_)</c:formatCode>
                <c:ptCount val="3"/>
                <c:pt idx="0">
                  <c:v>0</c:v>
                </c:pt>
                <c:pt idx="1">
                  <c:v>5881224</c:v>
                </c:pt>
                <c:pt idx="2">
                  <c:v>0</c:v>
                </c:pt>
              </c:numCache>
            </c:numRef>
          </c:val>
          <c:extLst>
            <c:ext xmlns:c16="http://schemas.microsoft.com/office/drawing/2014/chart" uri="{C3380CC4-5D6E-409C-BE32-E72D297353CC}">
              <c16:uniqueId val="{00000000-133E-48BC-950A-E0C30C881EA8}"/>
            </c:ext>
          </c:extLst>
        </c:ser>
        <c:ser>
          <c:idx val="1"/>
          <c:order val="1"/>
          <c:tx>
            <c:strRef>
              <c:f>Main!$I$82</c:f>
              <c:strCache>
                <c:ptCount val="1"/>
                <c:pt idx="0">
                  <c:v>ADD Space Relay (SR)</c:v>
                </c:pt>
              </c:strCache>
            </c:strRef>
          </c:tx>
          <c:spPr>
            <a:solidFill>
              <a:schemeClr val="accent2"/>
            </a:solidFill>
            <a:ln>
              <a:noFill/>
            </a:ln>
            <a:effectLst/>
          </c:spPr>
          <c:invertIfNegative val="0"/>
          <c:cat>
            <c:strRef>
              <c:f>Main!$J$80:$L$80</c:f>
              <c:strCache>
                <c:ptCount val="3"/>
                <c:pt idx="0">
                  <c:v>Low</c:v>
                </c:pt>
                <c:pt idx="1">
                  <c:v>Baseline</c:v>
                </c:pt>
                <c:pt idx="2">
                  <c:v>High</c:v>
                </c:pt>
              </c:strCache>
            </c:strRef>
          </c:cat>
          <c:val>
            <c:numRef>
              <c:f>Main!$J$82:$L$82</c:f>
              <c:numCache>
                <c:formatCode>_(* #,##0_);_(* \(#,##0\);_(* "-"??_);_(@_)</c:formatCode>
                <c:ptCount val="3"/>
                <c:pt idx="0">
                  <c:v>0</c:v>
                </c:pt>
                <c:pt idx="1">
                  <c:v>85873353.846153855</c:v>
                </c:pt>
                <c:pt idx="2">
                  <c:v>0</c:v>
                </c:pt>
              </c:numCache>
            </c:numRef>
          </c:val>
          <c:extLst>
            <c:ext xmlns:c16="http://schemas.microsoft.com/office/drawing/2014/chart" uri="{C3380CC4-5D6E-409C-BE32-E72D297353CC}">
              <c16:uniqueId val="{00000001-133E-48BC-950A-E0C30C881EA8}"/>
            </c:ext>
          </c:extLst>
        </c:ser>
        <c:ser>
          <c:idx val="2"/>
          <c:order val="2"/>
          <c:tx>
            <c:strRef>
              <c:f>Main!$I$83</c:f>
              <c:strCache>
                <c:ptCount val="1"/>
                <c:pt idx="0">
                  <c:v>ADD Launch Events (LE)</c:v>
                </c:pt>
              </c:strCache>
            </c:strRef>
          </c:tx>
          <c:spPr>
            <a:solidFill>
              <a:schemeClr val="accent3"/>
            </a:solidFill>
            <a:ln>
              <a:noFill/>
            </a:ln>
            <a:effectLst/>
          </c:spPr>
          <c:invertIfNegative val="0"/>
          <c:cat>
            <c:strRef>
              <c:f>Main!$J$80:$L$80</c:f>
              <c:strCache>
                <c:ptCount val="3"/>
                <c:pt idx="0">
                  <c:v>Low</c:v>
                </c:pt>
                <c:pt idx="1">
                  <c:v>Baseline</c:v>
                </c:pt>
                <c:pt idx="2">
                  <c:v>High</c:v>
                </c:pt>
              </c:strCache>
            </c:strRef>
          </c:cat>
          <c:val>
            <c:numRef>
              <c:f>Main!$J$83:$L$83</c:f>
              <c:numCache>
                <c:formatCode>_(* #,##0_);_(* \(#,##0\);_(* "-"??_);_(@_)</c:formatCode>
                <c:ptCount val="3"/>
                <c:pt idx="0">
                  <c:v>0</c:v>
                </c:pt>
                <c:pt idx="1">
                  <c:v>167453040</c:v>
                </c:pt>
                <c:pt idx="2">
                  <c:v>0</c:v>
                </c:pt>
              </c:numCache>
            </c:numRef>
          </c:val>
          <c:extLst>
            <c:ext xmlns:c16="http://schemas.microsoft.com/office/drawing/2014/chart" uri="{C3380CC4-5D6E-409C-BE32-E72D297353CC}">
              <c16:uniqueId val="{00000002-133E-48BC-950A-E0C30C881EA8}"/>
            </c:ext>
          </c:extLst>
        </c:ser>
        <c:ser>
          <c:idx val="3"/>
          <c:order val="3"/>
          <c:tx>
            <c:strRef>
              <c:f>Main!$I$84</c:f>
              <c:strCache>
                <c:ptCount val="1"/>
                <c:pt idx="0">
                  <c:v>FDDN Direct to Earth (DTE)</c:v>
                </c:pt>
              </c:strCache>
            </c:strRef>
          </c:tx>
          <c:spPr>
            <a:solidFill>
              <a:schemeClr val="accent4"/>
            </a:solidFill>
            <a:ln>
              <a:noFill/>
            </a:ln>
            <a:effectLst/>
          </c:spPr>
          <c:invertIfNegative val="0"/>
          <c:cat>
            <c:strRef>
              <c:f>Main!$J$80:$L$80</c:f>
              <c:strCache>
                <c:ptCount val="3"/>
                <c:pt idx="0">
                  <c:v>Low</c:v>
                </c:pt>
                <c:pt idx="1">
                  <c:v>Baseline</c:v>
                </c:pt>
                <c:pt idx="2">
                  <c:v>High</c:v>
                </c:pt>
              </c:strCache>
            </c:strRef>
          </c:cat>
          <c:val>
            <c:numRef>
              <c:f>Main!$J$84:$L$84</c:f>
              <c:numCache>
                <c:formatCode>_(* #,##0_);_(* \(#,##0\);_(* "-"??_);_(@_)</c:formatCode>
                <c:ptCount val="3"/>
                <c:pt idx="0">
                  <c:v>0</c:v>
                </c:pt>
                <c:pt idx="1">
                  <c:v>5391122</c:v>
                </c:pt>
                <c:pt idx="2">
                  <c:v>0</c:v>
                </c:pt>
              </c:numCache>
            </c:numRef>
          </c:val>
          <c:extLst>
            <c:ext xmlns:c16="http://schemas.microsoft.com/office/drawing/2014/chart" uri="{C3380CC4-5D6E-409C-BE32-E72D297353CC}">
              <c16:uniqueId val="{00000003-133E-48BC-950A-E0C30C881EA8}"/>
            </c:ext>
          </c:extLst>
        </c:ser>
        <c:ser>
          <c:idx val="4"/>
          <c:order val="4"/>
          <c:tx>
            <c:strRef>
              <c:f>Main!$I$85</c:f>
              <c:strCache>
                <c:ptCount val="1"/>
                <c:pt idx="0">
                  <c:v>FDDN Space Relay (SR)</c:v>
                </c:pt>
              </c:strCache>
            </c:strRef>
          </c:tx>
          <c:spPr>
            <a:solidFill>
              <a:schemeClr val="accent5"/>
            </a:solidFill>
            <a:ln>
              <a:noFill/>
            </a:ln>
            <a:effectLst/>
          </c:spPr>
          <c:invertIfNegative val="0"/>
          <c:cat>
            <c:strRef>
              <c:f>Main!$J$80:$L$80</c:f>
              <c:strCache>
                <c:ptCount val="3"/>
                <c:pt idx="0">
                  <c:v>Low</c:v>
                </c:pt>
                <c:pt idx="1">
                  <c:v>Baseline</c:v>
                </c:pt>
                <c:pt idx="2">
                  <c:v>High</c:v>
                </c:pt>
              </c:strCache>
            </c:strRef>
          </c:cat>
          <c:val>
            <c:numRef>
              <c:f>Main!$J$85:$L$85</c:f>
              <c:numCache>
                <c:formatCode>_(* #,##0_);_(* \(#,##0\);_(* "-"??_);_(@_)</c:formatCode>
                <c:ptCount val="3"/>
                <c:pt idx="0">
                  <c:v>0</c:v>
                </c:pt>
                <c:pt idx="1">
                  <c:v>60111347.692307703</c:v>
                </c:pt>
                <c:pt idx="2">
                  <c:v>0</c:v>
                </c:pt>
              </c:numCache>
            </c:numRef>
          </c:val>
          <c:extLst>
            <c:ext xmlns:c16="http://schemas.microsoft.com/office/drawing/2014/chart" uri="{C3380CC4-5D6E-409C-BE32-E72D297353CC}">
              <c16:uniqueId val="{00000004-133E-48BC-950A-E0C30C881EA8}"/>
            </c:ext>
          </c:extLst>
        </c:ser>
        <c:dLbls>
          <c:showLegendKey val="0"/>
          <c:showVal val="0"/>
          <c:showCatName val="0"/>
          <c:showSerName val="0"/>
          <c:showPercent val="0"/>
          <c:showBubbleSize val="0"/>
        </c:dLbls>
        <c:gapWidth val="150"/>
        <c:overlap val="100"/>
        <c:axId val="1149951456"/>
        <c:axId val="1149952704"/>
      </c:barChart>
      <c:lineChart>
        <c:grouping val="standard"/>
        <c:varyColors val="0"/>
        <c:ser>
          <c:idx val="5"/>
          <c:order val="5"/>
          <c:spPr>
            <a:ln w="28575" cap="rnd">
              <a:noFill/>
              <a:round/>
            </a:ln>
            <a:effectLst/>
          </c:spPr>
          <c:marker>
            <c:symbol val="none"/>
          </c:marker>
          <c:dLbls>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Helvetica" panose="020B0604020202020204" pitchFamily="34" charset="0"/>
                    <a:ea typeface="+mn-ea"/>
                    <a:cs typeface="Helvetica" panose="020B0604020202020204" pitchFamily="34" charset="0"/>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Main!$J$86:$L$86</c:f>
              <c:numCache>
                <c:formatCode>_("$"* #,##0_);_("$"* \(#,##0\);_("$"* "-"??_);_(@_)</c:formatCode>
                <c:ptCount val="3"/>
                <c:pt idx="0">
                  <c:v>0</c:v>
                </c:pt>
                <c:pt idx="1">
                  <c:v>324710087.53846157</c:v>
                </c:pt>
                <c:pt idx="2">
                  <c:v>0</c:v>
                </c:pt>
              </c:numCache>
            </c:numRef>
          </c:val>
          <c:smooth val="0"/>
          <c:extLst>
            <c:ext xmlns:c16="http://schemas.microsoft.com/office/drawing/2014/chart" uri="{C3380CC4-5D6E-409C-BE32-E72D297353CC}">
              <c16:uniqueId val="{00000005-133E-48BC-950A-E0C30C881EA8}"/>
            </c:ext>
          </c:extLst>
        </c:ser>
        <c:dLbls>
          <c:showLegendKey val="0"/>
          <c:showVal val="0"/>
          <c:showCatName val="0"/>
          <c:showSerName val="0"/>
          <c:showPercent val="0"/>
          <c:showBubbleSize val="0"/>
        </c:dLbls>
        <c:marker val="1"/>
        <c:smooth val="0"/>
        <c:axId val="1149951456"/>
        <c:axId val="1149952704"/>
      </c:lineChart>
      <c:catAx>
        <c:axId val="11499514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Helvetica" panose="020B0604020202020204" pitchFamily="34" charset="0"/>
                <a:ea typeface="+mn-ea"/>
                <a:cs typeface="Helvetica" panose="020B0604020202020204" pitchFamily="34" charset="0"/>
              </a:defRPr>
            </a:pPr>
            <a:endParaRPr lang="en-US"/>
          </a:p>
        </c:txPr>
        <c:crossAx val="1149952704"/>
        <c:crosses val="autoZero"/>
        <c:auto val="1"/>
        <c:lblAlgn val="ctr"/>
        <c:lblOffset val="100"/>
        <c:noMultiLvlLbl val="0"/>
      </c:catAx>
      <c:valAx>
        <c:axId val="114995270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Helvetica" panose="020B0604020202020204" pitchFamily="34" charset="0"/>
                    <a:ea typeface="+mn-ea"/>
                    <a:cs typeface="Helvetica" panose="020B0604020202020204" pitchFamily="34" charset="0"/>
                  </a:defRPr>
                </a:pPr>
                <a:r>
                  <a:rPr lang="en-US"/>
                  <a:t>Cost (US$)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Helvetica" panose="020B0604020202020204" pitchFamily="34" charset="0"/>
                  <a:ea typeface="+mn-ea"/>
                  <a:cs typeface="Helvetica" panose="020B0604020202020204" pitchFamily="34" charset="0"/>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Helvetica" panose="020B0604020202020204" pitchFamily="34" charset="0"/>
                <a:ea typeface="+mn-ea"/>
                <a:cs typeface="Helvetica" panose="020B0604020202020204" pitchFamily="34" charset="0"/>
              </a:defRPr>
            </a:pPr>
            <a:endParaRPr lang="en-US"/>
          </a:p>
        </c:txPr>
        <c:crossAx val="1149951456"/>
        <c:crosses val="autoZero"/>
        <c:crossBetween val="between"/>
      </c:valAx>
      <c:spPr>
        <a:noFill/>
        <a:ln>
          <a:noFill/>
        </a:ln>
        <a:effectLst/>
      </c:spPr>
    </c:plotArea>
    <c:legend>
      <c:legendPos val="b"/>
      <c:legendEntry>
        <c:idx val="5"/>
        <c:delete val="1"/>
      </c:legendEntry>
      <c:layout>
        <c:manualLayout>
          <c:xMode val="edge"/>
          <c:yMode val="edge"/>
          <c:x val="0"/>
          <c:y val="0.84833727034120732"/>
          <c:w val="1"/>
          <c:h val="0.1266627296587926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Helvetica" panose="020B0604020202020204" pitchFamily="34" charset="0"/>
              <a:ea typeface="+mn-ea"/>
              <a:cs typeface="Helvetica" panose="020B0604020202020204"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latin typeface="Helvetica" panose="020B0604020202020204" pitchFamily="34" charset="0"/>
          <a:cs typeface="Helvetica" panose="020B0604020202020204" pitchFamily="34" charset="0"/>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Helvetica" panose="020B0604020202020204" pitchFamily="34" charset="0"/>
                <a:ea typeface="+mn-ea"/>
                <a:cs typeface="Helvetica" panose="020B0604020202020204" pitchFamily="34" charset="0"/>
              </a:defRPr>
            </a:pPr>
            <a:r>
              <a:rPr lang="en-US"/>
              <a:t>Estimated </a:t>
            </a:r>
            <a:r>
              <a:rPr lang="en-US" sz="1400" b="0" i="0" u="none" strike="noStrike" baseline="0">
                <a:effectLst/>
              </a:rPr>
              <a:t>Annual </a:t>
            </a:r>
            <a:r>
              <a:rPr lang="en-US"/>
              <a:t>Future Service Demand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Helvetica" panose="020B0604020202020204" pitchFamily="34" charset="0"/>
              <a:ea typeface="+mn-ea"/>
              <a:cs typeface="Helvetica" panose="020B0604020202020204" pitchFamily="34" charset="0"/>
            </a:defRPr>
          </a:pPr>
          <a:endParaRPr lang="en-US"/>
        </a:p>
      </c:txPr>
    </c:title>
    <c:autoTitleDeleted val="0"/>
    <c:plotArea>
      <c:layout/>
      <c:barChart>
        <c:barDir val="col"/>
        <c:grouping val="stacked"/>
        <c:varyColors val="0"/>
        <c:ser>
          <c:idx val="0"/>
          <c:order val="0"/>
          <c:tx>
            <c:strRef>
              <c:f>Main!$C$21</c:f>
              <c:strCache>
                <c:ptCount val="1"/>
                <c:pt idx="0">
                  <c:v>ADD Direct to Earth (DTE)</c:v>
                </c:pt>
              </c:strCache>
            </c:strRef>
          </c:tx>
          <c:spPr>
            <a:solidFill>
              <a:schemeClr val="accent1"/>
            </a:solidFill>
            <a:ln>
              <a:noFill/>
            </a:ln>
            <a:effectLst/>
          </c:spPr>
          <c:invertIfNegative val="0"/>
          <c:cat>
            <c:strRef>
              <c:f>Main!$D$20:$F$20</c:f>
              <c:strCache>
                <c:ptCount val="3"/>
                <c:pt idx="0">
                  <c:v>Low</c:v>
                </c:pt>
                <c:pt idx="1">
                  <c:v>Baseline</c:v>
                </c:pt>
                <c:pt idx="2">
                  <c:v>High</c:v>
                </c:pt>
              </c:strCache>
            </c:strRef>
          </c:cat>
          <c:val>
            <c:numRef>
              <c:f>Main!$D$21:$F$21</c:f>
              <c:numCache>
                <c:formatCode>_(* #,##0_);_(* \(#,##0\);_(* "-"??_);_(@_)</c:formatCode>
                <c:ptCount val="3"/>
                <c:pt idx="0">
                  <c:v>800499.93333333335</c:v>
                </c:pt>
                <c:pt idx="1">
                  <c:v>1110897.8666666667</c:v>
                </c:pt>
                <c:pt idx="2">
                  <c:v>1388622.3333333333</c:v>
                </c:pt>
              </c:numCache>
            </c:numRef>
          </c:val>
          <c:extLst>
            <c:ext xmlns:c16="http://schemas.microsoft.com/office/drawing/2014/chart" uri="{C3380CC4-5D6E-409C-BE32-E72D297353CC}">
              <c16:uniqueId val="{00000000-0F51-4FC1-9004-2498CC2D469C}"/>
            </c:ext>
          </c:extLst>
        </c:ser>
        <c:ser>
          <c:idx val="1"/>
          <c:order val="1"/>
          <c:tx>
            <c:strRef>
              <c:f>Main!$C$22</c:f>
              <c:strCache>
                <c:ptCount val="1"/>
                <c:pt idx="0">
                  <c:v>ADD Space Relay (SR)</c:v>
                </c:pt>
              </c:strCache>
            </c:strRef>
          </c:tx>
          <c:spPr>
            <a:solidFill>
              <a:schemeClr val="accent2"/>
            </a:solidFill>
            <a:ln>
              <a:noFill/>
            </a:ln>
            <a:effectLst/>
          </c:spPr>
          <c:invertIfNegative val="0"/>
          <c:cat>
            <c:strRef>
              <c:f>Main!$D$20:$F$20</c:f>
              <c:strCache>
                <c:ptCount val="3"/>
                <c:pt idx="0">
                  <c:v>Low</c:v>
                </c:pt>
                <c:pt idx="1">
                  <c:v>Baseline</c:v>
                </c:pt>
                <c:pt idx="2">
                  <c:v>High</c:v>
                </c:pt>
              </c:strCache>
            </c:strRef>
          </c:cat>
          <c:val>
            <c:numRef>
              <c:f>Main!$D$22:$F$22</c:f>
              <c:numCache>
                <c:formatCode>_(* #,##0_);_(* \(#,##0\);_(* "-"??_);_(@_)</c:formatCode>
                <c:ptCount val="3"/>
                <c:pt idx="0">
                  <c:v>5259742.9230769239</c:v>
                </c:pt>
                <c:pt idx="1">
                  <c:v>7191893.384615385</c:v>
                </c:pt>
                <c:pt idx="2">
                  <c:v>9124043.8461538479</c:v>
                </c:pt>
              </c:numCache>
            </c:numRef>
          </c:val>
          <c:extLst>
            <c:ext xmlns:c16="http://schemas.microsoft.com/office/drawing/2014/chart" uri="{C3380CC4-5D6E-409C-BE32-E72D297353CC}">
              <c16:uniqueId val="{00000001-0F51-4FC1-9004-2498CC2D469C}"/>
            </c:ext>
          </c:extLst>
        </c:ser>
        <c:ser>
          <c:idx val="2"/>
          <c:order val="2"/>
          <c:tx>
            <c:strRef>
              <c:f>Main!$C$23</c:f>
              <c:strCache>
                <c:ptCount val="1"/>
                <c:pt idx="0">
                  <c:v>ADD Launch Events (LE)</c:v>
                </c:pt>
              </c:strCache>
            </c:strRef>
          </c:tx>
          <c:spPr>
            <a:solidFill>
              <a:schemeClr val="accent3"/>
            </a:solidFill>
            <a:ln>
              <a:noFill/>
            </a:ln>
            <a:effectLst/>
          </c:spPr>
          <c:invertIfNegative val="0"/>
          <c:cat>
            <c:strRef>
              <c:f>Main!$D$20:$F$20</c:f>
              <c:strCache>
                <c:ptCount val="3"/>
                <c:pt idx="0">
                  <c:v>Low</c:v>
                </c:pt>
                <c:pt idx="1">
                  <c:v>Baseline</c:v>
                </c:pt>
                <c:pt idx="2">
                  <c:v>High</c:v>
                </c:pt>
              </c:strCache>
            </c:strRef>
          </c:cat>
          <c:val>
            <c:numRef>
              <c:f>Main!$D$23:$F$23</c:f>
              <c:numCache>
                <c:formatCode>_(* #,##0_);_(* \(#,##0\);_(* "-"??_);_(@_)</c:formatCode>
                <c:ptCount val="3"/>
                <c:pt idx="0">
                  <c:v>2146833.846153846</c:v>
                </c:pt>
                <c:pt idx="1">
                  <c:v>3434934.153846154</c:v>
                </c:pt>
                <c:pt idx="2">
                  <c:v>4830376.153846154</c:v>
                </c:pt>
              </c:numCache>
            </c:numRef>
          </c:val>
          <c:extLst>
            <c:ext xmlns:c16="http://schemas.microsoft.com/office/drawing/2014/chart" uri="{C3380CC4-5D6E-409C-BE32-E72D297353CC}">
              <c16:uniqueId val="{00000002-0F51-4FC1-9004-2498CC2D469C}"/>
            </c:ext>
          </c:extLst>
        </c:ser>
        <c:ser>
          <c:idx val="3"/>
          <c:order val="3"/>
          <c:tx>
            <c:strRef>
              <c:f>Main!$C$24</c:f>
              <c:strCache>
                <c:ptCount val="1"/>
                <c:pt idx="0">
                  <c:v>FDDN Direct to Earth (DTE)</c:v>
                </c:pt>
              </c:strCache>
            </c:strRef>
          </c:tx>
          <c:spPr>
            <a:solidFill>
              <a:schemeClr val="accent4"/>
            </a:solidFill>
            <a:ln>
              <a:noFill/>
            </a:ln>
            <a:effectLst/>
          </c:spPr>
          <c:invertIfNegative val="0"/>
          <c:cat>
            <c:strRef>
              <c:f>Main!$D$20:$F$20</c:f>
              <c:strCache>
                <c:ptCount val="3"/>
                <c:pt idx="0">
                  <c:v>Low</c:v>
                </c:pt>
                <c:pt idx="1">
                  <c:v>Baseline</c:v>
                </c:pt>
                <c:pt idx="2">
                  <c:v>High</c:v>
                </c:pt>
              </c:strCache>
            </c:strRef>
          </c:cat>
          <c:val>
            <c:numRef>
              <c:f>Main!$D$24:$F$24</c:f>
              <c:numCache>
                <c:formatCode>_(* #,##0_);_(* \(#,##0\);_(* "-"??_);_(@_)</c:formatCode>
                <c:ptCount val="3"/>
                <c:pt idx="0">
                  <c:v>653469.33333333326</c:v>
                </c:pt>
                <c:pt idx="1">
                  <c:v>947530.53333333344</c:v>
                </c:pt>
                <c:pt idx="2">
                  <c:v>1241591.7333333334</c:v>
                </c:pt>
              </c:numCache>
            </c:numRef>
          </c:val>
          <c:extLst>
            <c:ext xmlns:c16="http://schemas.microsoft.com/office/drawing/2014/chart" uri="{C3380CC4-5D6E-409C-BE32-E72D297353CC}">
              <c16:uniqueId val="{00000003-0F51-4FC1-9004-2498CC2D469C}"/>
            </c:ext>
          </c:extLst>
        </c:ser>
        <c:ser>
          <c:idx val="4"/>
          <c:order val="4"/>
          <c:tx>
            <c:strRef>
              <c:f>Main!$C$25</c:f>
              <c:strCache>
                <c:ptCount val="1"/>
                <c:pt idx="0">
                  <c:v>FDDN Space Relay (SR)</c:v>
                </c:pt>
              </c:strCache>
            </c:strRef>
          </c:tx>
          <c:spPr>
            <a:solidFill>
              <a:schemeClr val="accent5"/>
            </a:solidFill>
            <a:ln>
              <a:noFill/>
            </a:ln>
            <a:effectLst/>
          </c:spPr>
          <c:invertIfNegative val="0"/>
          <c:cat>
            <c:strRef>
              <c:f>Main!$D$20:$F$20</c:f>
              <c:strCache>
                <c:ptCount val="3"/>
                <c:pt idx="0">
                  <c:v>Low</c:v>
                </c:pt>
                <c:pt idx="1">
                  <c:v>Baseline</c:v>
                </c:pt>
                <c:pt idx="2">
                  <c:v>High</c:v>
                </c:pt>
              </c:strCache>
            </c:strRef>
          </c:cat>
          <c:val>
            <c:numRef>
              <c:f>Main!$D$25:$F$25</c:f>
              <c:numCache>
                <c:formatCode>_(* #,##0_);_(* \(#,##0\);_(* "-"??_);_(@_)</c:formatCode>
                <c:ptCount val="3"/>
                <c:pt idx="0">
                  <c:v>833173.39999999991</c:v>
                </c:pt>
                <c:pt idx="1">
                  <c:v>1225255</c:v>
                </c:pt>
                <c:pt idx="2">
                  <c:v>1600999.8666666665</c:v>
                </c:pt>
              </c:numCache>
            </c:numRef>
          </c:val>
          <c:extLst>
            <c:ext xmlns:c16="http://schemas.microsoft.com/office/drawing/2014/chart" uri="{C3380CC4-5D6E-409C-BE32-E72D297353CC}">
              <c16:uniqueId val="{00000004-0F51-4FC1-9004-2498CC2D469C}"/>
            </c:ext>
          </c:extLst>
        </c:ser>
        <c:dLbls>
          <c:showLegendKey val="0"/>
          <c:showVal val="0"/>
          <c:showCatName val="0"/>
          <c:showSerName val="0"/>
          <c:showPercent val="0"/>
          <c:showBubbleSize val="0"/>
        </c:dLbls>
        <c:gapWidth val="150"/>
        <c:overlap val="100"/>
        <c:axId val="1149951456"/>
        <c:axId val="1149952704"/>
      </c:barChart>
      <c:lineChart>
        <c:grouping val="standard"/>
        <c:varyColors val="0"/>
        <c:ser>
          <c:idx val="5"/>
          <c:order val="5"/>
          <c:tx>
            <c:strRef>
              <c:f>Main!$C$26</c:f>
              <c:strCache>
                <c:ptCount val="1"/>
                <c:pt idx="0">
                  <c:v>Total</c:v>
                </c:pt>
              </c:strCache>
            </c:strRef>
          </c:tx>
          <c:spPr>
            <a:ln w="28575" cap="rnd">
              <a:noFill/>
              <a:round/>
            </a:ln>
            <a:effectLst/>
          </c:spPr>
          <c:marker>
            <c:symbol val="none"/>
          </c:marker>
          <c:dLbls>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Helvetica" panose="020B0604020202020204" pitchFamily="34" charset="0"/>
                    <a:ea typeface="+mn-ea"/>
                    <a:cs typeface="Helvetica" panose="020B0604020202020204" pitchFamily="34" charset="0"/>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Main!$D$20:$F$20</c:f>
              <c:strCache>
                <c:ptCount val="3"/>
                <c:pt idx="0">
                  <c:v>Low</c:v>
                </c:pt>
                <c:pt idx="1">
                  <c:v>Baseline</c:v>
                </c:pt>
                <c:pt idx="2">
                  <c:v>High</c:v>
                </c:pt>
              </c:strCache>
            </c:strRef>
          </c:cat>
          <c:val>
            <c:numRef>
              <c:f>Main!$D$26:$F$26</c:f>
              <c:numCache>
                <c:formatCode>_(* #,##0_);_(* \(#,##0\);_(* "-"??_);_(@_)</c:formatCode>
                <c:ptCount val="3"/>
                <c:pt idx="0">
                  <c:v>9693719.4358974379</c:v>
                </c:pt>
                <c:pt idx="1">
                  <c:v>13910510.938461538</c:v>
                </c:pt>
                <c:pt idx="2">
                  <c:v>18185633.933333337</c:v>
                </c:pt>
              </c:numCache>
            </c:numRef>
          </c:val>
          <c:smooth val="0"/>
          <c:extLst>
            <c:ext xmlns:c16="http://schemas.microsoft.com/office/drawing/2014/chart" uri="{C3380CC4-5D6E-409C-BE32-E72D297353CC}">
              <c16:uniqueId val="{00000005-0F51-4FC1-9004-2498CC2D469C}"/>
            </c:ext>
          </c:extLst>
        </c:ser>
        <c:dLbls>
          <c:showLegendKey val="0"/>
          <c:showVal val="0"/>
          <c:showCatName val="0"/>
          <c:showSerName val="0"/>
          <c:showPercent val="0"/>
          <c:showBubbleSize val="0"/>
        </c:dLbls>
        <c:marker val="1"/>
        <c:smooth val="0"/>
        <c:axId val="1149951456"/>
        <c:axId val="1149952704"/>
      </c:lineChart>
      <c:catAx>
        <c:axId val="11499514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Helvetica" panose="020B0604020202020204" pitchFamily="34" charset="0"/>
                <a:ea typeface="+mn-ea"/>
                <a:cs typeface="Helvetica" panose="020B0604020202020204" pitchFamily="34" charset="0"/>
              </a:defRPr>
            </a:pPr>
            <a:endParaRPr lang="en-US"/>
          </a:p>
        </c:txPr>
        <c:crossAx val="1149952704"/>
        <c:crosses val="autoZero"/>
        <c:auto val="1"/>
        <c:lblAlgn val="ctr"/>
        <c:lblOffset val="100"/>
        <c:noMultiLvlLbl val="0"/>
      </c:catAx>
      <c:valAx>
        <c:axId val="114995270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Helvetica" panose="020B0604020202020204" pitchFamily="34" charset="0"/>
                    <a:ea typeface="+mn-ea"/>
                    <a:cs typeface="Helvetica" panose="020B0604020202020204" pitchFamily="34" charset="0"/>
                  </a:defRPr>
                </a:pPr>
                <a:r>
                  <a:rPr lang="en-US"/>
                  <a:t>Total Minutes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Helvetica" panose="020B0604020202020204" pitchFamily="34" charset="0"/>
                  <a:ea typeface="+mn-ea"/>
                  <a:cs typeface="Helvetica" panose="020B0604020202020204" pitchFamily="34" charset="0"/>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Helvetica" panose="020B0604020202020204" pitchFamily="34" charset="0"/>
                <a:ea typeface="+mn-ea"/>
                <a:cs typeface="Helvetica" panose="020B0604020202020204" pitchFamily="34" charset="0"/>
              </a:defRPr>
            </a:pPr>
            <a:endParaRPr lang="en-US"/>
          </a:p>
        </c:txPr>
        <c:crossAx val="1149951456"/>
        <c:crosses val="autoZero"/>
        <c:crossBetween val="between"/>
      </c:valAx>
      <c:spPr>
        <a:noFill/>
        <a:ln>
          <a:noFill/>
        </a:ln>
        <a:effectLst/>
      </c:spPr>
    </c:plotArea>
    <c:legend>
      <c:legendPos val="b"/>
      <c:legendEntry>
        <c:idx val="5"/>
        <c:delete val="1"/>
      </c:legendEntry>
      <c:layout>
        <c:manualLayout>
          <c:xMode val="edge"/>
          <c:yMode val="edge"/>
          <c:x val="0"/>
          <c:y val="0.85038408284563738"/>
          <c:w val="1"/>
          <c:h val="0.1249533125891268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Helvetica" panose="020B0604020202020204" pitchFamily="34" charset="0"/>
              <a:ea typeface="+mn-ea"/>
              <a:cs typeface="Helvetica" panose="020B0604020202020204"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latin typeface="Helvetica" panose="020B0604020202020204" pitchFamily="34" charset="0"/>
          <a:cs typeface="Helvetica" panose="020B0604020202020204" pitchFamily="34" charset="0"/>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Helvetica" panose="020B0604020202020204" pitchFamily="34" charset="0"/>
                <a:ea typeface="+mn-ea"/>
                <a:cs typeface="Helvetica" panose="020B0604020202020204" pitchFamily="34" charset="0"/>
              </a:defRPr>
            </a:pPr>
            <a:r>
              <a:rPr lang="en-US"/>
              <a:t>Estimated </a:t>
            </a:r>
            <a:r>
              <a:rPr lang="en-US" sz="1400" b="0" i="0" u="none" strike="noStrike" baseline="0">
                <a:effectLst/>
              </a:rPr>
              <a:t>Annual </a:t>
            </a:r>
            <a:r>
              <a:rPr lang="en-US"/>
              <a:t>Future Service Cost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Helvetica" panose="020B0604020202020204" pitchFamily="34" charset="0"/>
              <a:ea typeface="+mn-ea"/>
              <a:cs typeface="Helvetica" panose="020B0604020202020204" pitchFamily="34" charset="0"/>
            </a:defRPr>
          </a:pPr>
          <a:endParaRPr lang="en-US"/>
        </a:p>
      </c:txPr>
    </c:title>
    <c:autoTitleDeleted val="0"/>
    <c:plotArea>
      <c:layout/>
      <c:barChart>
        <c:barDir val="col"/>
        <c:grouping val="stacked"/>
        <c:varyColors val="0"/>
        <c:ser>
          <c:idx val="0"/>
          <c:order val="0"/>
          <c:tx>
            <c:strRef>
              <c:f>Main!$I$21</c:f>
              <c:strCache>
                <c:ptCount val="1"/>
                <c:pt idx="0">
                  <c:v>ADD Direct to Earth (DTE)</c:v>
                </c:pt>
              </c:strCache>
            </c:strRef>
          </c:tx>
          <c:spPr>
            <a:solidFill>
              <a:schemeClr val="accent1"/>
            </a:solidFill>
            <a:ln>
              <a:noFill/>
            </a:ln>
            <a:effectLst/>
          </c:spPr>
          <c:invertIfNegative val="0"/>
          <c:cat>
            <c:strRef>
              <c:f>Main!$J$20:$L$20</c:f>
              <c:strCache>
                <c:ptCount val="3"/>
                <c:pt idx="0">
                  <c:v>Low</c:v>
                </c:pt>
                <c:pt idx="1">
                  <c:v>Baseline</c:v>
                </c:pt>
                <c:pt idx="2">
                  <c:v>High</c:v>
                </c:pt>
              </c:strCache>
            </c:strRef>
          </c:cat>
          <c:val>
            <c:numRef>
              <c:f>Main!$J$21:$L$21</c:f>
              <c:numCache>
                <c:formatCode>_("$"* #,##0_);_("$"* \(#,##0\);_("$"* "-"??_);_(@_)</c:formatCode>
                <c:ptCount val="3"/>
                <c:pt idx="0">
                  <c:v>12007499</c:v>
                </c:pt>
                <c:pt idx="1">
                  <c:v>16663468</c:v>
                </c:pt>
                <c:pt idx="2">
                  <c:v>20829335</c:v>
                </c:pt>
              </c:numCache>
            </c:numRef>
          </c:val>
          <c:extLst>
            <c:ext xmlns:c16="http://schemas.microsoft.com/office/drawing/2014/chart" uri="{C3380CC4-5D6E-409C-BE32-E72D297353CC}">
              <c16:uniqueId val="{00000000-C597-4039-A2B0-AF351AF2EBE4}"/>
            </c:ext>
          </c:extLst>
        </c:ser>
        <c:ser>
          <c:idx val="1"/>
          <c:order val="1"/>
          <c:tx>
            <c:strRef>
              <c:f>Main!$I$22</c:f>
              <c:strCache>
                <c:ptCount val="1"/>
                <c:pt idx="0">
                  <c:v>ADD Space Relay (SR)</c:v>
                </c:pt>
              </c:strCache>
            </c:strRef>
          </c:tx>
          <c:spPr>
            <a:solidFill>
              <a:schemeClr val="accent2"/>
            </a:solidFill>
            <a:ln>
              <a:noFill/>
            </a:ln>
            <a:effectLst/>
          </c:spPr>
          <c:invertIfNegative val="0"/>
          <c:cat>
            <c:strRef>
              <c:f>Main!$J$20:$L$20</c:f>
              <c:strCache>
                <c:ptCount val="3"/>
                <c:pt idx="0">
                  <c:v>Low</c:v>
                </c:pt>
                <c:pt idx="1">
                  <c:v>Baseline</c:v>
                </c:pt>
                <c:pt idx="2">
                  <c:v>High</c:v>
                </c:pt>
              </c:strCache>
            </c:strRef>
          </c:cat>
          <c:val>
            <c:numRef>
              <c:f>Main!$J$22:$L$22</c:f>
              <c:numCache>
                <c:formatCode>_("$"* #,##0_);_("$"* \(#,##0\);_("$"* "-"??_);_(@_)</c:formatCode>
                <c:ptCount val="3"/>
                <c:pt idx="0">
                  <c:v>210389716.92307693</c:v>
                </c:pt>
                <c:pt idx="1">
                  <c:v>287675735.38461536</c:v>
                </c:pt>
                <c:pt idx="2">
                  <c:v>364961753.84615386</c:v>
                </c:pt>
              </c:numCache>
            </c:numRef>
          </c:val>
          <c:extLst>
            <c:ext xmlns:c16="http://schemas.microsoft.com/office/drawing/2014/chart" uri="{C3380CC4-5D6E-409C-BE32-E72D297353CC}">
              <c16:uniqueId val="{00000001-C597-4039-A2B0-AF351AF2EBE4}"/>
            </c:ext>
          </c:extLst>
        </c:ser>
        <c:ser>
          <c:idx val="2"/>
          <c:order val="2"/>
          <c:tx>
            <c:strRef>
              <c:f>Main!$I$23</c:f>
              <c:strCache>
                <c:ptCount val="1"/>
                <c:pt idx="0">
                  <c:v>ADD Launch Events (LE)</c:v>
                </c:pt>
              </c:strCache>
            </c:strRef>
          </c:tx>
          <c:spPr>
            <a:solidFill>
              <a:schemeClr val="accent3"/>
            </a:solidFill>
            <a:ln>
              <a:noFill/>
            </a:ln>
            <a:effectLst/>
          </c:spPr>
          <c:invertIfNegative val="0"/>
          <c:cat>
            <c:strRef>
              <c:f>Main!$J$20:$L$20</c:f>
              <c:strCache>
                <c:ptCount val="3"/>
                <c:pt idx="0">
                  <c:v>Low</c:v>
                </c:pt>
                <c:pt idx="1">
                  <c:v>Baseline</c:v>
                </c:pt>
                <c:pt idx="2">
                  <c:v>High</c:v>
                </c:pt>
              </c:strCache>
            </c:strRef>
          </c:cat>
          <c:val>
            <c:numRef>
              <c:f>Main!$J$23:$L$23</c:f>
              <c:numCache>
                <c:formatCode>_("$"* #,##0_);_("$"* \(#,##0\);_("$"* "-"??_);_(@_)</c:formatCode>
                <c:ptCount val="3"/>
                <c:pt idx="0">
                  <c:v>85873353.84615384</c:v>
                </c:pt>
                <c:pt idx="1">
                  <c:v>137397366.15384614</c:v>
                </c:pt>
                <c:pt idx="2">
                  <c:v>193215046.15384614</c:v>
                </c:pt>
              </c:numCache>
            </c:numRef>
          </c:val>
          <c:extLst>
            <c:ext xmlns:c16="http://schemas.microsoft.com/office/drawing/2014/chart" uri="{C3380CC4-5D6E-409C-BE32-E72D297353CC}">
              <c16:uniqueId val="{00000002-C597-4039-A2B0-AF351AF2EBE4}"/>
            </c:ext>
          </c:extLst>
        </c:ser>
        <c:ser>
          <c:idx val="3"/>
          <c:order val="3"/>
          <c:tx>
            <c:strRef>
              <c:f>Main!$I$24</c:f>
              <c:strCache>
                <c:ptCount val="1"/>
                <c:pt idx="0">
                  <c:v>FDDN Direct to Earth (DTE)</c:v>
                </c:pt>
              </c:strCache>
            </c:strRef>
          </c:tx>
          <c:spPr>
            <a:solidFill>
              <a:schemeClr val="accent4"/>
            </a:solidFill>
            <a:ln>
              <a:noFill/>
            </a:ln>
            <a:effectLst/>
          </c:spPr>
          <c:invertIfNegative val="0"/>
          <c:cat>
            <c:strRef>
              <c:f>Main!$J$20:$L$20</c:f>
              <c:strCache>
                <c:ptCount val="3"/>
                <c:pt idx="0">
                  <c:v>Low</c:v>
                </c:pt>
                <c:pt idx="1">
                  <c:v>Baseline</c:v>
                </c:pt>
                <c:pt idx="2">
                  <c:v>High</c:v>
                </c:pt>
              </c:strCache>
            </c:strRef>
          </c:cat>
          <c:val>
            <c:numRef>
              <c:f>Main!$J$24:$L$24</c:f>
              <c:numCache>
                <c:formatCode>_("$"* #,##0_);_("$"* \(#,##0\);_("$"* "-"??_);_(@_)</c:formatCode>
                <c:ptCount val="3"/>
                <c:pt idx="0">
                  <c:v>9802040</c:v>
                </c:pt>
                <c:pt idx="1">
                  <c:v>14212958</c:v>
                </c:pt>
                <c:pt idx="2">
                  <c:v>18623876</c:v>
                </c:pt>
              </c:numCache>
            </c:numRef>
          </c:val>
          <c:extLst>
            <c:ext xmlns:c16="http://schemas.microsoft.com/office/drawing/2014/chart" uri="{C3380CC4-5D6E-409C-BE32-E72D297353CC}">
              <c16:uniqueId val="{00000003-C597-4039-A2B0-AF351AF2EBE4}"/>
            </c:ext>
          </c:extLst>
        </c:ser>
        <c:ser>
          <c:idx val="4"/>
          <c:order val="4"/>
          <c:tx>
            <c:strRef>
              <c:f>Main!$I$25</c:f>
              <c:strCache>
                <c:ptCount val="1"/>
                <c:pt idx="0">
                  <c:v>FDDN Space Relay (SR)</c:v>
                </c:pt>
              </c:strCache>
            </c:strRef>
          </c:tx>
          <c:spPr>
            <a:solidFill>
              <a:schemeClr val="accent5"/>
            </a:solidFill>
            <a:ln>
              <a:noFill/>
            </a:ln>
            <a:effectLst/>
          </c:spPr>
          <c:invertIfNegative val="0"/>
          <c:cat>
            <c:strRef>
              <c:f>Main!$J$20:$L$20</c:f>
              <c:strCache>
                <c:ptCount val="3"/>
                <c:pt idx="0">
                  <c:v>Low</c:v>
                </c:pt>
                <c:pt idx="1">
                  <c:v>Baseline</c:v>
                </c:pt>
                <c:pt idx="2">
                  <c:v>High</c:v>
                </c:pt>
              </c:strCache>
            </c:strRef>
          </c:cat>
          <c:val>
            <c:numRef>
              <c:f>Main!$J$25:$L$25</c:f>
              <c:numCache>
                <c:formatCode>_("$"* #,##0_);_("$"* \(#,##0\);_("$"* "-"??_);_(@_)</c:formatCode>
                <c:ptCount val="3"/>
                <c:pt idx="0">
                  <c:v>33326936</c:v>
                </c:pt>
                <c:pt idx="1">
                  <c:v>49010200</c:v>
                </c:pt>
                <c:pt idx="2">
                  <c:v>64039994.666666657</c:v>
                </c:pt>
              </c:numCache>
            </c:numRef>
          </c:val>
          <c:extLst>
            <c:ext xmlns:c16="http://schemas.microsoft.com/office/drawing/2014/chart" uri="{C3380CC4-5D6E-409C-BE32-E72D297353CC}">
              <c16:uniqueId val="{00000004-C597-4039-A2B0-AF351AF2EBE4}"/>
            </c:ext>
          </c:extLst>
        </c:ser>
        <c:dLbls>
          <c:showLegendKey val="0"/>
          <c:showVal val="0"/>
          <c:showCatName val="0"/>
          <c:showSerName val="0"/>
          <c:showPercent val="0"/>
          <c:showBubbleSize val="0"/>
        </c:dLbls>
        <c:gapWidth val="150"/>
        <c:overlap val="100"/>
        <c:axId val="1149951456"/>
        <c:axId val="1149952704"/>
      </c:barChart>
      <c:lineChart>
        <c:grouping val="standard"/>
        <c:varyColors val="0"/>
        <c:ser>
          <c:idx val="5"/>
          <c:order val="5"/>
          <c:tx>
            <c:strRef>
              <c:f>Main!$I$26</c:f>
              <c:strCache>
                <c:ptCount val="1"/>
                <c:pt idx="0">
                  <c:v>Total</c:v>
                </c:pt>
              </c:strCache>
            </c:strRef>
          </c:tx>
          <c:spPr>
            <a:ln w="28575" cap="rnd">
              <a:noFill/>
              <a:round/>
            </a:ln>
            <a:effectLst/>
          </c:spPr>
          <c:marker>
            <c:symbol val="none"/>
          </c:marker>
          <c:dLbls>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Helvetica" panose="020B0604020202020204" pitchFamily="34" charset="0"/>
                    <a:ea typeface="+mn-ea"/>
                    <a:cs typeface="Helvetica" panose="020B0604020202020204" pitchFamily="34" charset="0"/>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Main!$J$20:$L$20</c:f>
              <c:strCache>
                <c:ptCount val="3"/>
                <c:pt idx="0">
                  <c:v>Low</c:v>
                </c:pt>
                <c:pt idx="1">
                  <c:v>Baseline</c:v>
                </c:pt>
                <c:pt idx="2">
                  <c:v>High</c:v>
                </c:pt>
              </c:strCache>
            </c:strRef>
          </c:cat>
          <c:val>
            <c:numRef>
              <c:f>Main!$J$26:$L$26</c:f>
              <c:numCache>
                <c:formatCode>_("$"* #,##0_);_("$"* \(#,##0\);_("$"* "-"??_);_(@_)</c:formatCode>
                <c:ptCount val="3"/>
                <c:pt idx="0">
                  <c:v>351399545.76923078</c:v>
                </c:pt>
                <c:pt idx="1">
                  <c:v>504959727.53846151</c:v>
                </c:pt>
                <c:pt idx="2">
                  <c:v>661670005.66666663</c:v>
                </c:pt>
              </c:numCache>
            </c:numRef>
          </c:val>
          <c:smooth val="0"/>
          <c:extLst>
            <c:ext xmlns:c16="http://schemas.microsoft.com/office/drawing/2014/chart" uri="{C3380CC4-5D6E-409C-BE32-E72D297353CC}">
              <c16:uniqueId val="{00000005-C597-4039-A2B0-AF351AF2EBE4}"/>
            </c:ext>
          </c:extLst>
        </c:ser>
        <c:dLbls>
          <c:showLegendKey val="0"/>
          <c:showVal val="0"/>
          <c:showCatName val="0"/>
          <c:showSerName val="0"/>
          <c:showPercent val="0"/>
          <c:showBubbleSize val="0"/>
        </c:dLbls>
        <c:marker val="1"/>
        <c:smooth val="0"/>
        <c:axId val="1149951456"/>
        <c:axId val="1149952704"/>
      </c:lineChart>
      <c:catAx>
        <c:axId val="11499514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Helvetica" panose="020B0604020202020204" pitchFamily="34" charset="0"/>
                <a:ea typeface="+mn-ea"/>
                <a:cs typeface="Helvetica" panose="020B0604020202020204" pitchFamily="34" charset="0"/>
              </a:defRPr>
            </a:pPr>
            <a:endParaRPr lang="en-US"/>
          </a:p>
        </c:txPr>
        <c:crossAx val="1149952704"/>
        <c:crosses val="autoZero"/>
        <c:auto val="1"/>
        <c:lblAlgn val="ctr"/>
        <c:lblOffset val="100"/>
        <c:noMultiLvlLbl val="0"/>
      </c:catAx>
      <c:valAx>
        <c:axId val="114995270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Helvetica" panose="020B0604020202020204" pitchFamily="34" charset="0"/>
                    <a:ea typeface="+mn-ea"/>
                    <a:cs typeface="Helvetica" panose="020B0604020202020204" pitchFamily="34" charset="0"/>
                  </a:defRPr>
                </a:pPr>
                <a:r>
                  <a:rPr lang="en-US"/>
                  <a:t>Cost (US$)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Helvetica" panose="020B0604020202020204" pitchFamily="34" charset="0"/>
                  <a:ea typeface="+mn-ea"/>
                  <a:cs typeface="Helvetica" panose="020B0604020202020204" pitchFamily="34" charset="0"/>
                </a:defRPr>
              </a:pPr>
              <a:endParaRPr lang="en-US"/>
            </a:p>
          </c:txPr>
        </c:title>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Helvetica" panose="020B0604020202020204" pitchFamily="34" charset="0"/>
                <a:ea typeface="+mn-ea"/>
                <a:cs typeface="Helvetica" panose="020B0604020202020204" pitchFamily="34" charset="0"/>
              </a:defRPr>
            </a:pPr>
            <a:endParaRPr lang="en-US"/>
          </a:p>
        </c:txPr>
        <c:crossAx val="1149951456"/>
        <c:crosses val="autoZero"/>
        <c:crossBetween val="between"/>
      </c:valAx>
      <c:spPr>
        <a:noFill/>
        <a:ln>
          <a:noFill/>
        </a:ln>
        <a:effectLst/>
      </c:spPr>
    </c:plotArea>
    <c:legend>
      <c:legendPos val="b"/>
      <c:legendEntry>
        <c:idx val="5"/>
        <c:delete val="1"/>
      </c:legendEntry>
      <c:layout>
        <c:manualLayout>
          <c:xMode val="edge"/>
          <c:yMode val="edge"/>
          <c:x val="0"/>
          <c:y val="0.8522483269312765"/>
          <c:w val="1"/>
          <c:h val="0.1233963694616455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Helvetica" panose="020B0604020202020204" pitchFamily="34" charset="0"/>
              <a:ea typeface="+mn-ea"/>
              <a:cs typeface="Helvetica" panose="020B0604020202020204"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latin typeface="Helvetica" panose="020B0604020202020204" pitchFamily="34" charset="0"/>
          <a:cs typeface="Helvetica" panose="020B0604020202020204" pitchFamily="34" charset="0"/>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Helvetica" panose="020B0604020202020204" pitchFamily="34" charset="0"/>
                <a:ea typeface="+mn-ea"/>
                <a:cs typeface="Helvetica" panose="020B0604020202020204" pitchFamily="34" charset="0"/>
              </a:defRPr>
            </a:pPr>
            <a:r>
              <a:rPr lang="en-US"/>
              <a:t>Current Operational Service Demand 2023</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Helvetica" panose="020B0604020202020204" pitchFamily="34" charset="0"/>
              <a:ea typeface="+mn-ea"/>
              <a:cs typeface="Helvetica" panose="020B0604020202020204" pitchFamily="34" charset="0"/>
            </a:defRPr>
          </a:pPr>
          <a:endParaRPr lang="en-US"/>
        </a:p>
      </c:txPr>
    </c:title>
    <c:autoTitleDeleted val="0"/>
    <c:plotArea>
      <c:layout/>
      <c:barChart>
        <c:barDir val="col"/>
        <c:grouping val="stacked"/>
        <c:varyColors val="0"/>
        <c:ser>
          <c:idx val="0"/>
          <c:order val="0"/>
          <c:tx>
            <c:strRef>
              <c:f>Main!$C$51</c:f>
              <c:strCache>
                <c:ptCount val="1"/>
                <c:pt idx="0">
                  <c:v>ADD Direct to Earth (DTE)</c:v>
                </c:pt>
              </c:strCache>
            </c:strRef>
          </c:tx>
          <c:spPr>
            <a:solidFill>
              <a:schemeClr val="accent1"/>
            </a:solidFill>
            <a:ln>
              <a:noFill/>
            </a:ln>
            <a:effectLst/>
          </c:spPr>
          <c:invertIfNegative val="0"/>
          <c:cat>
            <c:strRef>
              <c:f>Main!$D$50:$F$50</c:f>
              <c:strCache>
                <c:ptCount val="3"/>
                <c:pt idx="0">
                  <c:v>Low</c:v>
                </c:pt>
                <c:pt idx="1">
                  <c:v>Baseline</c:v>
                </c:pt>
                <c:pt idx="2">
                  <c:v>High</c:v>
                </c:pt>
              </c:strCache>
            </c:strRef>
          </c:cat>
          <c:val>
            <c:numRef>
              <c:f>Main!$D$51:$F$51</c:f>
              <c:numCache>
                <c:formatCode>_(* #,##0_);_(* \(#,##0\);_(* "-"??_);_(@_)</c:formatCode>
                <c:ptCount val="3"/>
                <c:pt idx="0">
                  <c:v>0</c:v>
                </c:pt>
                <c:pt idx="1">
                  <c:v>400249.96666666667</c:v>
                </c:pt>
                <c:pt idx="2">
                  <c:v>0</c:v>
                </c:pt>
              </c:numCache>
            </c:numRef>
          </c:val>
          <c:extLst>
            <c:ext xmlns:c16="http://schemas.microsoft.com/office/drawing/2014/chart" uri="{C3380CC4-5D6E-409C-BE32-E72D297353CC}">
              <c16:uniqueId val="{00000000-86DC-4535-9EF6-4F352A4F13B6}"/>
            </c:ext>
          </c:extLst>
        </c:ser>
        <c:ser>
          <c:idx val="1"/>
          <c:order val="1"/>
          <c:tx>
            <c:strRef>
              <c:f>Main!$C$52</c:f>
              <c:strCache>
                <c:ptCount val="1"/>
                <c:pt idx="0">
                  <c:v>ADD Space Relay (SR)</c:v>
                </c:pt>
              </c:strCache>
            </c:strRef>
          </c:tx>
          <c:spPr>
            <a:solidFill>
              <a:schemeClr val="accent2"/>
            </a:solidFill>
            <a:ln>
              <a:noFill/>
            </a:ln>
            <a:effectLst/>
          </c:spPr>
          <c:invertIfNegative val="0"/>
          <c:cat>
            <c:strRef>
              <c:f>Main!$D$50:$F$50</c:f>
              <c:strCache>
                <c:ptCount val="3"/>
                <c:pt idx="0">
                  <c:v>Low</c:v>
                </c:pt>
                <c:pt idx="1">
                  <c:v>Baseline</c:v>
                </c:pt>
                <c:pt idx="2">
                  <c:v>High</c:v>
                </c:pt>
              </c:strCache>
            </c:strRef>
          </c:cat>
          <c:val>
            <c:numRef>
              <c:f>Main!$D$52:$F$52</c:f>
              <c:numCache>
                <c:formatCode>_(* #,##0_);_(* \(#,##0\);_(* "-"??_);_(@_)</c:formatCode>
                <c:ptCount val="3"/>
                <c:pt idx="0">
                  <c:v>0</c:v>
                </c:pt>
                <c:pt idx="1">
                  <c:v>3486933</c:v>
                </c:pt>
                <c:pt idx="2">
                  <c:v>0</c:v>
                </c:pt>
              </c:numCache>
            </c:numRef>
          </c:val>
          <c:extLst>
            <c:ext xmlns:c16="http://schemas.microsoft.com/office/drawing/2014/chart" uri="{C3380CC4-5D6E-409C-BE32-E72D297353CC}">
              <c16:uniqueId val="{00000001-86DC-4535-9EF6-4F352A4F13B6}"/>
            </c:ext>
          </c:extLst>
        </c:ser>
        <c:ser>
          <c:idx val="2"/>
          <c:order val="2"/>
          <c:tx>
            <c:strRef>
              <c:f>Main!$C$53</c:f>
              <c:strCache>
                <c:ptCount val="1"/>
                <c:pt idx="0">
                  <c:v>ADD Launch Events (LE)</c:v>
                </c:pt>
              </c:strCache>
            </c:strRef>
          </c:tx>
          <c:spPr>
            <a:solidFill>
              <a:schemeClr val="accent3"/>
            </a:solidFill>
            <a:ln>
              <a:noFill/>
            </a:ln>
            <a:effectLst/>
          </c:spPr>
          <c:invertIfNegative val="0"/>
          <c:cat>
            <c:strRef>
              <c:f>Main!$D$50:$F$50</c:f>
              <c:strCache>
                <c:ptCount val="3"/>
                <c:pt idx="0">
                  <c:v>Low</c:v>
                </c:pt>
                <c:pt idx="1">
                  <c:v>Baseline</c:v>
                </c:pt>
                <c:pt idx="2">
                  <c:v>High</c:v>
                </c:pt>
              </c:strCache>
            </c:strRef>
          </c:cat>
          <c:val>
            <c:numRef>
              <c:f>Main!$D$53:$F$53</c:f>
              <c:numCache>
                <c:formatCode>_(* #,##0_);_(* \(#,##0\);_(* "-"??_);_(@_)</c:formatCode>
                <c:ptCount val="3"/>
                <c:pt idx="0">
                  <c:v>0</c:v>
                </c:pt>
                <c:pt idx="1">
                  <c:v>1672</c:v>
                </c:pt>
                <c:pt idx="2">
                  <c:v>0</c:v>
                </c:pt>
              </c:numCache>
            </c:numRef>
          </c:val>
          <c:extLst>
            <c:ext xmlns:c16="http://schemas.microsoft.com/office/drawing/2014/chart" uri="{C3380CC4-5D6E-409C-BE32-E72D297353CC}">
              <c16:uniqueId val="{00000002-86DC-4535-9EF6-4F352A4F13B6}"/>
            </c:ext>
          </c:extLst>
        </c:ser>
        <c:ser>
          <c:idx val="3"/>
          <c:order val="3"/>
          <c:tx>
            <c:strRef>
              <c:f>Main!$C$54</c:f>
              <c:strCache>
                <c:ptCount val="1"/>
                <c:pt idx="0">
                  <c:v>FDDN Direct to Earth (DTE)</c:v>
                </c:pt>
              </c:strCache>
            </c:strRef>
          </c:tx>
          <c:spPr>
            <a:solidFill>
              <a:schemeClr val="accent4"/>
            </a:solidFill>
            <a:ln>
              <a:noFill/>
            </a:ln>
            <a:effectLst/>
          </c:spPr>
          <c:invertIfNegative val="0"/>
          <c:cat>
            <c:strRef>
              <c:f>Main!$D$50:$F$50</c:f>
              <c:strCache>
                <c:ptCount val="3"/>
                <c:pt idx="0">
                  <c:v>Low</c:v>
                </c:pt>
                <c:pt idx="1">
                  <c:v>Baseline</c:v>
                </c:pt>
                <c:pt idx="2">
                  <c:v>High</c:v>
                </c:pt>
              </c:strCache>
            </c:strRef>
          </c:cat>
          <c:val>
            <c:numRef>
              <c:f>Main!$D$54:$F$54</c:f>
              <c:numCache>
                <c:formatCode>_(* #,##0_);_(* \(#,##0\);_(* "-"??_);_(@_)</c:formatCode>
                <c:ptCount val="3"/>
                <c:pt idx="0">
                  <c:v>0</c:v>
                </c:pt>
                <c:pt idx="1">
                  <c:v>400249.96666666667</c:v>
                </c:pt>
                <c:pt idx="2">
                  <c:v>0</c:v>
                </c:pt>
              </c:numCache>
            </c:numRef>
          </c:val>
          <c:extLst>
            <c:ext xmlns:c16="http://schemas.microsoft.com/office/drawing/2014/chart" uri="{C3380CC4-5D6E-409C-BE32-E72D297353CC}">
              <c16:uniqueId val="{00000003-86DC-4535-9EF6-4F352A4F13B6}"/>
            </c:ext>
          </c:extLst>
        </c:ser>
        <c:ser>
          <c:idx val="4"/>
          <c:order val="4"/>
          <c:tx>
            <c:strRef>
              <c:f>Main!$C$55</c:f>
              <c:strCache>
                <c:ptCount val="1"/>
                <c:pt idx="0">
                  <c:v>FDDN Space Relay (SR)</c:v>
                </c:pt>
              </c:strCache>
            </c:strRef>
          </c:tx>
          <c:spPr>
            <a:solidFill>
              <a:schemeClr val="accent5"/>
            </a:solidFill>
            <a:ln>
              <a:noFill/>
            </a:ln>
            <a:effectLst/>
          </c:spPr>
          <c:invertIfNegative val="0"/>
          <c:cat>
            <c:strRef>
              <c:f>Main!$D$50:$F$50</c:f>
              <c:strCache>
                <c:ptCount val="3"/>
                <c:pt idx="0">
                  <c:v>Low</c:v>
                </c:pt>
                <c:pt idx="1">
                  <c:v>Baseline</c:v>
                </c:pt>
                <c:pt idx="2">
                  <c:v>High</c:v>
                </c:pt>
              </c:strCache>
            </c:strRef>
          </c:cat>
          <c:val>
            <c:numRef>
              <c:f>Main!$D$55:$F$55</c:f>
              <c:numCache>
                <c:formatCode>_(* #,##0_);_(* \(#,##0\);_(* "-"??_);_(@_)</c:formatCode>
                <c:ptCount val="3"/>
                <c:pt idx="0">
                  <c:v>0</c:v>
                </c:pt>
                <c:pt idx="1">
                  <c:v>3486933</c:v>
                </c:pt>
                <c:pt idx="2">
                  <c:v>0</c:v>
                </c:pt>
              </c:numCache>
            </c:numRef>
          </c:val>
          <c:extLst>
            <c:ext xmlns:c16="http://schemas.microsoft.com/office/drawing/2014/chart" uri="{C3380CC4-5D6E-409C-BE32-E72D297353CC}">
              <c16:uniqueId val="{00000004-86DC-4535-9EF6-4F352A4F13B6}"/>
            </c:ext>
          </c:extLst>
        </c:ser>
        <c:dLbls>
          <c:showLegendKey val="0"/>
          <c:showVal val="0"/>
          <c:showCatName val="0"/>
          <c:showSerName val="0"/>
          <c:showPercent val="0"/>
          <c:showBubbleSize val="0"/>
        </c:dLbls>
        <c:gapWidth val="150"/>
        <c:overlap val="100"/>
        <c:axId val="1149951456"/>
        <c:axId val="1149952704"/>
      </c:barChart>
      <c:lineChart>
        <c:grouping val="standard"/>
        <c:varyColors val="0"/>
        <c:ser>
          <c:idx val="5"/>
          <c:order val="5"/>
          <c:tx>
            <c:strRef>
              <c:f>Main!$C$56</c:f>
              <c:strCache>
                <c:ptCount val="1"/>
                <c:pt idx="0">
                  <c:v>Total</c:v>
                </c:pt>
              </c:strCache>
            </c:strRef>
          </c:tx>
          <c:spPr>
            <a:ln w="28575" cap="rnd">
              <a:noFill/>
              <a:round/>
            </a:ln>
            <a:effectLst/>
          </c:spPr>
          <c:marker>
            <c:symbol val="none"/>
          </c:marker>
          <c:dLbls>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Helvetica" panose="020B0604020202020204" pitchFamily="34" charset="0"/>
                    <a:ea typeface="+mn-ea"/>
                    <a:cs typeface="Helvetica" panose="020B0604020202020204" pitchFamily="34" charset="0"/>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Main!$D$50:$F$50</c:f>
              <c:strCache>
                <c:ptCount val="3"/>
                <c:pt idx="0">
                  <c:v>Low</c:v>
                </c:pt>
                <c:pt idx="1">
                  <c:v>Baseline</c:v>
                </c:pt>
                <c:pt idx="2">
                  <c:v>High</c:v>
                </c:pt>
              </c:strCache>
            </c:strRef>
          </c:cat>
          <c:val>
            <c:numRef>
              <c:f>Main!$D$56:$F$56</c:f>
              <c:numCache>
                <c:formatCode>_(* #,##0_);_(* \(#,##0\);_(* "-"??_);_(@_)</c:formatCode>
                <c:ptCount val="3"/>
                <c:pt idx="0">
                  <c:v>0</c:v>
                </c:pt>
                <c:pt idx="1">
                  <c:v>7776037.9333333336</c:v>
                </c:pt>
                <c:pt idx="2">
                  <c:v>0</c:v>
                </c:pt>
              </c:numCache>
            </c:numRef>
          </c:val>
          <c:smooth val="0"/>
          <c:extLst>
            <c:ext xmlns:c16="http://schemas.microsoft.com/office/drawing/2014/chart" uri="{C3380CC4-5D6E-409C-BE32-E72D297353CC}">
              <c16:uniqueId val="{00000005-86DC-4535-9EF6-4F352A4F13B6}"/>
            </c:ext>
          </c:extLst>
        </c:ser>
        <c:dLbls>
          <c:showLegendKey val="0"/>
          <c:showVal val="0"/>
          <c:showCatName val="0"/>
          <c:showSerName val="0"/>
          <c:showPercent val="0"/>
          <c:showBubbleSize val="0"/>
        </c:dLbls>
        <c:marker val="1"/>
        <c:smooth val="0"/>
        <c:axId val="1149951456"/>
        <c:axId val="1149952704"/>
      </c:lineChart>
      <c:catAx>
        <c:axId val="11499514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Helvetica" panose="020B0604020202020204" pitchFamily="34" charset="0"/>
                <a:ea typeface="+mn-ea"/>
                <a:cs typeface="Helvetica" panose="020B0604020202020204" pitchFamily="34" charset="0"/>
              </a:defRPr>
            </a:pPr>
            <a:endParaRPr lang="en-US"/>
          </a:p>
        </c:txPr>
        <c:crossAx val="1149952704"/>
        <c:crosses val="autoZero"/>
        <c:auto val="1"/>
        <c:lblAlgn val="ctr"/>
        <c:lblOffset val="100"/>
        <c:noMultiLvlLbl val="0"/>
      </c:catAx>
      <c:valAx>
        <c:axId val="114995270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Helvetica" panose="020B0604020202020204" pitchFamily="34" charset="0"/>
                    <a:ea typeface="+mn-ea"/>
                    <a:cs typeface="Helvetica" panose="020B0604020202020204" pitchFamily="34" charset="0"/>
                  </a:defRPr>
                </a:pPr>
                <a:r>
                  <a:rPr lang="en-US"/>
                  <a:t>Total Minutes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Helvetica" panose="020B0604020202020204" pitchFamily="34" charset="0"/>
                  <a:ea typeface="+mn-ea"/>
                  <a:cs typeface="Helvetica" panose="020B0604020202020204" pitchFamily="34" charset="0"/>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Helvetica" panose="020B0604020202020204" pitchFamily="34" charset="0"/>
                <a:ea typeface="+mn-ea"/>
                <a:cs typeface="Helvetica" panose="020B0604020202020204" pitchFamily="34" charset="0"/>
              </a:defRPr>
            </a:pPr>
            <a:endParaRPr lang="en-US"/>
          </a:p>
        </c:txPr>
        <c:crossAx val="1149951456"/>
        <c:crosses val="autoZero"/>
        <c:crossBetween val="between"/>
      </c:valAx>
      <c:spPr>
        <a:noFill/>
        <a:ln>
          <a:noFill/>
        </a:ln>
        <a:effectLst/>
      </c:spPr>
    </c:plotArea>
    <c:legend>
      <c:legendPos val="b"/>
      <c:legendEntry>
        <c:idx val="5"/>
        <c:delete val="1"/>
      </c:legendEntry>
      <c:layout>
        <c:manualLayout>
          <c:xMode val="edge"/>
          <c:yMode val="edge"/>
          <c:x val="0"/>
          <c:y val="0.84788992298873722"/>
          <c:w val="1"/>
          <c:h val="0.1270363365225025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Helvetica" panose="020B0604020202020204" pitchFamily="34" charset="0"/>
              <a:ea typeface="+mn-ea"/>
              <a:cs typeface="Helvetica" panose="020B0604020202020204"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latin typeface="Helvetica" panose="020B0604020202020204" pitchFamily="34" charset="0"/>
          <a:cs typeface="Helvetica" panose="020B0604020202020204" pitchFamily="34" charset="0"/>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Helvetica" panose="020B0604020202020204" pitchFamily="34" charset="0"/>
                <a:ea typeface="+mn-ea"/>
                <a:cs typeface="Helvetica" panose="020B0604020202020204" pitchFamily="34" charset="0"/>
              </a:defRPr>
            </a:pPr>
            <a:r>
              <a:rPr lang="en-US"/>
              <a:t>Current Operational Service Cost 2023</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Helvetica" panose="020B0604020202020204" pitchFamily="34" charset="0"/>
              <a:ea typeface="+mn-ea"/>
              <a:cs typeface="Helvetica" panose="020B0604020202020204" pitchFamily="34" charset="0"/>
            </a:defRPr>
          </a:pPr>
          <a:endParaRPr lang="en-US"/>
        </a:p>
      </c:txPr>
    </c:title>
    <c:autoTitleDeleted val="0"/>
    <c:plotArea>
      <c:layout/>
      <c:barChart>
        <c:barDir val="col"/>
        <c:grouping val="stacked"/>
        <c:varyColors val="0"/>
        <c:ser>
          <c:idx val="0"/>
          <c:order val="0"/>
          <c:tx>
            <c:strRef>
              <c:f>Main!$I$51</c:f>
              <c:strCache>
                <c:ptCount val="1"/>
                <c:pt idx="0">
                  <c:v>ADD Direct to Earth (DTE)</c:v>
                </c:pt>
              </c:strCache>
            </c:strRef>
          </c:tx>
          <c:spPr>
            <a:solidFill>
              <a:schemeClr val="accent1"/>
            </a:solidFill>
            <a:ln>
              <a:noFill/>
            </a:ln>
            <a:effectLst/>
          </c:spPr>
          <c:invertIfNegative val="0"/>
          <c:cat>
            <c:strRef>
              <c:f>Main!$J$50:$L$50</c:f>
              <c:strCache>
                <c:ptCount val="3"/>
                <c:pt idx="0">
                  <c:v>Low</c:v>
                </c:pt>
                <c:pt idx="1">
                  <c:v>Baseline</c:v>
                </c:pt>
                <c:pt idx="2">
                  <c:v>High</c:v>
                </c:pt>
              </c:strCache>
            </c:strRef>
          </c:cat>
          <c:val>
            <c:numRef>
              <c:f>Main!$J$51:$L$51</c:f>
              <c:numCache>
                <c:formatCode>_("$"* #,##0_);_("$"* \(#,##0\);_("$"* "-"??_);_(@_)</c:formatCode>
                <c:ptCount val="3"/>
                <c:pt idx="0">
                  <c:v>0</c:v>
                </c:pt>
                <c:pt idx="1">
                  <c:v>6003749.5</c:v>
                </c:pt>
                <c:pt idx="2">
                  <c:v>0</c:v>
                </c:pt>
              </c:numCache>
            </c:numRef>
          </c:val>
          <c:extLst>
            <c:ext xmlns:c16="http://schemas.microsoft.com/office/drawing/2014/chart" uri="{C3380CC4-5D6E-409C-BE32-E72D297353CC}">
              <c16:uniqueId val="{00000000-1340-431C-A4D6-D0198EB6D778}"/>
            </c:ext>
          </c:extLst>
        </c:ser>
        <c:ser>
          <c:idx val="1"/>
          <c:order val="1"/>
          <c:tx>
            <c:strRef>
              <c:f>Main!$I$52</c:f>
              <c:strCache>
                <c:ptCount val="1"/>
                <c:pt idx="0">
                  <c:v>ADD Space Relay (SR)</c:v>
                </c:pt>
              </c:strCache>
            </c:strRef>
          </c:tx>
          <c:spPr>
            <a:solidFill>
              <a:schemeClr val="accent2"/>
            </a:solidFill>
            <a:ln>
              <a:noFill/>
            </a:ln>
            <a:effectLst/>
          </c:spPr>
          <c:invertIfNegative val="0"/>
          <c:cat>
            <c:strRef>
              <c:f>Main!$J$50:$L$50</c:f>
              <c:strCache>
                <c:ptCount val="3"/>
                <c:pt idx="0">
                  <c:v>Low</c:v>
                </c:pt>
                <c:pt idx="1">
                  <c:v>Baseline</c:v>
                </c:pt>
                <c:pt idx="2">
                  <c:v>High</c:v>
                </c:pt>
              </c:strCache>
            </c:strRef>
          </c:cat>
          <c:val>
            <c:numRef>
              <c:f>Main!$J$52:$L$52</c:f>
              <c:numCache>
                <c:formatCode>_("$"* #,##0_);_("$"* \(#,##0\);_("$"* "-"??_);_(@_)</c:formatCode>
                <c:ptCount val="3"/>
                <c:pt idx="0">
                  <c:v>0</c:v>
                </c:pt>
                <c:pt idx="1">
                  <c:v>139477320</c:v>
                </c:pt>
                <c:pt idx="2">
                  <c:v>0</c:v>
                </c:pt>
              </c:numCache>
            </c:numRef>
          </c:val>
          <c:extLst>
            <c:ext xmlns:c16="http://schemas.microsoft.com/office/drawing/2014/chart" uri="{C3380CC4-5D6E-409C-BE32-E72D297353CC}">
              <c16:uniqueId val="{00000001-1340-431C-A4D6-D0198EB6D778}"/>
            </c:ext>
          </c:extLst>
        </c:ser>
        <c:ser>
          <c:idx val="2"/>
          <c:order val="2"/>
          <c:tx>
            <c:strRef>
              <c:f>Main!$I$53</c:f>
              <c:strCache>
                <c:ptCount val="1"/>
                <c:pt idx="0">
                  <c:v>ADD Launch Events (LE)</c:v>
                </c:pt>
              </c:strCache>
            </c:strRef>
          </c:tx>
          <c:spPr>
            <a:solidFill>
              <a:schemeClr val="accent3"/>
            </a:solidFill>
            <a:ln>
              <a:noFill/>
            </a:ln>
            <a:effectLst/>
          </c:spPr>
          <c:invertIfNegative val="0"/>
          <c:cat>
            <c:strRef>
              <c:f>Main!$J$50:$L$50</c:f>
              <c:strCache>
                <c:ptCount val="3"/>
                <c:pt idx="0">
                  <c:v>Low</c:v>
                </c:pt>
                <c:pt idx="1">
                  <c:v>Baseline</c:v>
                </c:pt>
                <c:pt idx="2">
                  <c:v>High</c:v>
                </c:pt>
              </c:strCache>
            </c:strRef>
          </c:cat>
          <c:val>
            <c:numRef>
              <c:f>Main!$J$53:$L$53</c:f>
              <c:numCache>
                <c:formatCode>_("$"* #,##0_);_("$"* \(#,##0\);_("$"* "-"??_);_(@_)</c:formatCode>
                <c:ptCount val="3"/>
                <c:pt idx="0">
                  <c:v>0</c:v>
                </c:pt>
                <c:pt idx="1">
                  <c:v>66880</c:v>
                </c:pt>
                <c:pt idx="2">
                  <c:v>0</c:v>
                </c:pt>
              </c:numCache>
            </c:numRef>
          </c:val>
          <c:extLst>
            <c:ext xmlns:c16="http://schemas.microsoft.com/office/drawing/2014/chart" uri="{C3380CC4-5D6E-409C-BE32-E72D297353CC}">
              <c16:uniqueId val="{00000002-1340-431C-A4D6-D0198EB6D778}"/>
            </c:ext>
          </c:extLst>
        </c:ser>
        <c:ser>
          <c:idx val="3"/>
          <c:order val="3"/>
          <c:tx>
            <c:strRef>
              <c:f>Main!$I$54</c:f>
              <c:strCache>
                <c:ptCount val="1"/>
                <c:pt idx="0">
                  <c:v>FDDN Direct to Earth (DTE)</c:v>
                </c:pt>
              </c:strCache>
            </c:strRef>
          </c:tx>
          <c:spPr>
            <a:solidFill>
              <a:schemeClr val="accent4"/>
            </a:solidFill>
            <a:ln>
              <a:noFill/>
            </a:ln>
            <a:effectLst/>
          </c:spPr>
          <c:invertIfNegative val="0"/>
          <c:cat>
            <c:strRef>
              <c:f>Main!$J$50:$L$50</c:f>
              <c:strCache>
                <c:ptCount val="3"/>
                <c:pt idx="0">
                  <c:v>Low</c:v>
                </c:pt>
                <c:pt idx="1">
                  <c:v>Baseline</c:v>
                </c:pt>
                <c:pt idx="2">
                  <c:v>High</c:v>
                </c:pt>
              </c:strCache>
            </c:strRef>
          </c:cat>
          <c:val>
            <c:numRef>
              <c:f>Main!$J$54:$L$54</c:f>
              <c:numCache>
                <c:formatCode>_("$"* #,##0_);_("$"* \(#,##0\);_("$"* "-"??_);_(@_)</c:formatCode>
                <c:ptCount val="3"/>
                <c:pt idx="0">
                  <c:v>0</c:v>
                </c:pt>
                <c:pt idx="1">
                  <c:v>6003749.5</c:v>
                </c:pt>
                <c:pt idx="2">
                  <c:v>0</c:v>
                </c:pt>
              </c:numCache>
            </c:numRef>
          </c:val>
          <c:extLst>
            <c:ext xmlns:c16="http://schemas.microsoft.com/office/drawing/2014/chart" uri="{C3380CC4-5D6E-409C-BE32-E72D297353CC}">
              <c16:uniqueId val="{00000003-1340-431C-A4D6-D0198EB6D778}"/>
            </c:ext>
          </c:extLst>
        </c:ser>
        <c:ser>
          <c:idx val="4"/>
          <c:order val="4"/>
          <c:tx>
            <c:strRef>
              <c:f>Main!$I$55</c:f>
              <c:strCache>
                <c:ptCount val="1"/>
                <c:pt idx="0">
                  <c:v>FDDN Space Relay (SR)</c:v>
                </c:pt>
              </c:strCache>
            </c:strRef>
          </c:tx>
          <c:spPr>
            <a:solidFill>
              <a:schemeClr val="accent5"/>
            </a:solidFill>
            <a:ln>
              <a:noFill/>
            </a:ln>
            <a:effectLst/>
          </c:spPr>
          <c:invertIfNegative val="0"/>
          <c:cat>
            <c:strRef>
              <c:f>Main!$J$50:$L$50</c:f>
              <c:strCache>
                <c:ptCount val="3"/>
                <c:pt idx="0">
                  <c:v>Low</c:v>
                </c:pt>
                <c:pt idx="1">
                  <c:v>Baseline</c:v>
                </c:pt>
                <c:pt idx="2">
                  <c:v>High</c:v>
                </c:pt>
              </c:strCache>
            </c:strRef>
          </c:cat>
          <c:val>
            <c:numRef>
              <c:f>Main!$J$55:$L$55</c:f>
              <c:numCache>
                <c:formatCode>_("$"* #,##0_);_("$"* \(#,##0\);_("$"* "-"??_);_(@_)</c:formatCode>
                <c:ptCount val="3"/>
                <c:pt idx="0">
                  <c:v>0</c:v>
                </c:pt>
                <c:pt idx="1">
                  <c:v>139477320</c:v>
                </c:pt>
                <c:pt idx="2">
                  <c:v>0</c:v>
                </c:pt>
              </c:numCache>
            </c:numRef>
          </c:val>
          <c:extLst>
            <c:ext xmlns:c16="http://schemas.microsoft.com/office/drawing/2014/chart" uri="{C3380CC4-5D6E-409C-BE32-E72D297353CC}">
              <c16:uniqueId val="{00000004-1340-431C-A4D6-D0198EB6D778}"/>
            </c:ext>
          </c:extLst>
        </c:ser>
        <c:dLbls>
          <c:showLegendKey val="0"/>
          <c:showVal val="0"/>
          <c:showCatName val="0"/>
          <c:showSerName val="0"/>
          <c:showPercent val="0"/>
          <c:showBubbleSize val="0"/>
        </c:dLbls>
        <c:gapWidth val="150"/>
        <c:overlap val="100"/>
        <c:axId val="1149951456"/>
        <c:axId val="1149952704"/>
      </c:barChart>
      <c:lineChart>
        <c:grouping val="standard"/>
        <c:varyColors val="0"/>
        <c:ser>
          <c:idx val="5"/>
          <c:order val="5"/>
          <c:tx>
            <c:strRef>
              <c:f>Main!$I$56</c:f>
              <c:strCache>
                <c:ptCount val="1"/>
                <c:pt idx="0">
                  <c:v>Total</c:v>
                </c:pt>
              </c:strCache>
            </c:strRef>
          </c:tx>
          <c:spPr>
            <a:ln w="28575" cap="rnd">
              <a:noFill/>
              <a:round/>
            </a:ln>
            <a:effectLst/>
          </c:spPr>
          <c:marker>
            <c:symbol val="none"/>
          </c:marker>
          <c:dLbls>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Helvetica" panose="020B0604020202020204" pitchFamily="34" charset="0"/>
                    <a:ea typeface="+mn-ea"/>
                    <a:cs typeface="Helvetica" panose="020B0604020202020204" pitchFamily="34" charset="0"/>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Main!$J$50:$L$50</c:f>
              <c:strCache>
                <c:ptCount val="3"/>
                <c:pt idx="0">
                  <c:v>Low</c:v>
                </c:pt>
                <c:pt idx="1">
                  <c:v>Baseline</c:v>
                </c:pt>
                <c:pt idx="2">
                  <c:v>High</c:v>
                </c:pt>
              </c:strCache>
            </c:strRef>
          </c:cat>
          <c:val>
            <c:numRef>
              <c:f>Main!$J$56:$L$56</c:f>
              <c:numCache>
                <c:formatCode>_("$"* #,##0_);_("$"* \(#,##0\);_("$"* "-"??_);_(@_)</c:formatCode>
                <c:ptCount val="3"/>
                <c:pt idx="0">
                  <c:v>0</c:v>
                </c:pt>
                <c:pt idx="1">
                  <c:v>291029019</c:v>
                </c:pt>
                <c:pt idx="2">
                  <c:v>0</c:v>
                </c:pt>
              </c:numCache>
            </c:numRef>
          </c:val>
          <c:smooth val="0"/>
          <c:extLst>
            <c:ext xmlns:c16="http://schemas.microsoft.com/office/drawing/2014/chart" uri="{C3380CC4-5D6E-409C-BE32-E72D297353CC}">
              <c16:uniqueId val="{00000005-1340-431C-A4D6-D0198EB6D778}"/>
            </c:ext>
          </c:extLst>
        </c:ser>
        <c:dLbls>
          <c:showLegendKey val="0"/>
          <c:showVal val="0"/>
          <c:showCatName val="0"/>
          <c:showSerName val="0"/>
          <c:showPercent val="0"/>
          <c:showBubbleSize val="0"/>
        </c:dLbls>
        <c:marker val="1"/>
        <c:smooth val="0"/>
        <c:axId val="1149951456"/>
        <c:axId val="1149952704"/>
      </c:lineChart>
      <c:catAx>
        <c:axId val="11499514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Helvetica" panose="020B0604020202020204" pitchFamily="34" charset="0"/>
                <a:ea typeface="+mn-ea"/>
                <a:cs typeface="Helvetica" panose="020B0604020202020204" pitchFamily="34" charset="0"/>
              </a:defRPr>
            </a:pPr>
            <a:endParaRPr lang="en-US"/>
          </a:p>
        </c:txPr>
        <c:crossAx val="1149952704"/>
        <c:crosses val="autoZero"/>
        <c:auto val="1"/>
        <c:lblAlgn val="ctr"/>
        <c:lblOffset val="100"/>
        <c:noMultiLvlLbl val="0"/>
      </c:catAx>
      <c:valAx>
        <c:axId val="114995270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Helvetica" panose="020B0604020202020204" pitchFamily="34" charset="0"/>
                    <a:ea typeface="+mn-ea"/>
                    <a:cs typeface="Helvetica" panose="020B0604020202020204" pitchFamily="34" charset="0"/>
                  </a:defRPr>
                </a:pPr>
                <a:r>
                  <a:rPr lang="en-US"/>
                  <a:t>Cost (US$)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Helvetica" panose="020B0604020202020204" pitchFamily="34" charset="0"/>
                  <a:ea typeface="+mn-ea"/>
                  <a:cs typeface="Helvetica" panose="020B0604020202020204" pitchFamily="34" charset="0"/>
                </a:defRPr>
              </a:pPr>
              <a:endParaRPr lang="en-US"/>
            </a:p>
          </c:txPr>
        </c:title>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Helvetica" panose="020B0604020202020204" pitchFamily="34" charset="0"/>
                <a:ea typeface="+mn-ea"/>
                <a:cs typeface="Helvetica" panose="020B0604020202020204" pitchFamily="34" charset="0"/>
              </a:defRPr>
            </a:pPr>
            <a:endParaRPr lang="en-US"/>
          </a:p>
        </c:txPr>
        <c:crossAx val="1149951456"/>
        <c:crosses val="autoZero"/>
        <c:crossBetween val="between"/>
      </c:valAx>
      <c:spPr>
        <a:noFill/>
        <a:ln>
          <a:noFill/>
        </a:ln>
        <a:effectLst/>
      </c:spPr>
    </c:plotArea>
    <c:legend>
      <c:legendPos val="b"/>
      <c:legendEntry>
        <c:idx val="5"/>
        <c:delete val="1"/>
      </c:legendEntry>
      <c:layout>
        <c:manualLayout>
          <c:xMode val="edge"/>
          <c:yMode val="edge"/>
          <c:x val="0"/>
          <c:y val="0.84827031613359571"/>
          <c:w val="1"/>
          <c:h val="0.1267186471720624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Helvetica" panose="020B0604020202020204" pitchFamily="34" charset="0"/>
              <a:ea typeface="+mn-ea"/>
              <a:cs typeface="Helvetica" panose="020B0604020202020204"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latin typeface="Helvetica" panose="020B0604020202020204" pitchFamily="34" charset="0"/>
          <a:cs typeface="Helvetica" panose="020B0604020202020204" pitchFamily="34" charset="0"/>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a:t>Total Cost</a:t>
            </a:r>
            <a:r>
              <a:rPr lang="en-US" sz="1200" baseline="0"/>
              <a:t> for Commerically-Provided </a:t>
            </a:r>
            <a:r>
              <a:rPr lang="en-US" sz="1200" b="0" i="0" u="none" strike="noStrike" baseline="0">
                <a:effectLst/>
              </a:rPr>
              <a:t>Direct To Earth (DTE) </a:t>
            </a:r>
            <a:r>
              <a:rPr lang="en-US" sz="1200" baseline="0"/>
              <a:t>Assured Data Delivery (ADD) Services 2022</a:t>
            </a:r>
            <a:endParaRPr lang="en-US" sz="1200"/>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5067136050814248"/>
          <c:y val="0.20457169604725381"/>
          <c:w val="0.82165449393853007"/>
          <c:h val="0.44703985763921233"/>
        </c:manualLayout>
      </c:layout>
      <c:barChart>
        <c:barDir val="col"/>
        <c:grouping val="stacked"/>
        <c:varyColors val="0"/>
        <c:ser>
          <c:idx val="0"/>
          <c:order val="0"/>
          <c:tx>
            <c:strRef>
              <c:f>Historical_Cost!$A$19</c:f>
              <c:strCache>
                <c:ptCount val="1"/>
                <c:pt idx="0">
                  <c:v>Human Space Flight</c:v>
                </c:pt>
              </c:strCache>
            </c:strRef>
          </c:tx>
          <c:spPr>
            <a:solidFill>
              <a:schemeClr val="accent1"/>
            </a:solidFill>
            <a:ln>
              <a:noFill/>
            </a:ln>
            <a:effectLst/>
          </c:spPr>
          <c:invertIfNegative val="0"/>
          <c:cat>
            <c:strRef>
              <c:f>Historical_Cost!$J$18:$L$18</c:f>
              <c:strCache>
                <c:ptCount val="3"/>
                <c:pt idx="0">
                  <c:v>Low</c:v>
                </c:pt>
                <c:pt idx="1">
                  <c:v>Baseline</c:v>
                </c:pt>
                <c:pt idx="2">
                  <c:v>High</c:v>
                </c:pt>
              </c:strCache>
            </c:strRef>
          </c:cat>
          <c:val>
            <c:numRef>
              <c:f>Historical_Cost!$J$19:$L$19</c:f>
              <c:numCache>
                <c:formatCode>_(* #,##0_);_(* \(#,##0\);_(* "-"??_);_(@_)</c:formatCode>
                <c:ptCount val="3"/>
                <c:pt idx="0">
                  <c:v>245051</c:v>
                </c:pt>
                <c:pt idx="1">
                  <c:v>245051</c:v>
                </c:pt>
                <c:pt idx="2">
                  <c:v>245051</c:v>
                </c:pt>
              </c:numCache>
            </c:numRef>
          </c:val>
          <c:extLst>
            <c:ext xmlns:c16="http://schemas.microsoft.com/office/drawing/2014/chart" uri="{C3380CC4-5D6E-409C-BE32-E72D297353CC}">
              <c16:uniqueId val="{00000000-7EEB-41C4-9A0E-8AF65AB08C05}"/>
            </c:ext>
          </c:extLst>
        </c:ser>
        <c:ser>
          <c:idx val="1"/>
          <c:order val="1"/>
          <c:tx>
            <c:strRef>
              <c:f>Historical_Cost!$A$20</c:f>
              <c:strCache>
                <c:ptCount val="1"/>
                <c:pt idx="0">
                  <c:v>Near Earth Robotic - LEO Science</c:v>
                </c:pt>
              </c:strCache>
            </c:strRef>
          </c:tx>
          <c:spPr>
            <a:solidFill>
              <a:schemeClr val="accent2"/>
            </a:solidFill>
            <a:ln>
              <a:noFill/>
            </a:ln>
            <a:effectLst/>
          </c:spPr>
          <c:invertIfNegative val="0"/>
          <c:cat>
            <c:strRef>
              <c:f>Historical_Cost!$J$18:$L$18</c:f>
              <c:strCache>
                <c:ptCount val="3"/>
                <c:pt idx="0">
                  <c:v>Low</c:v>
                </c:pt>
                <c:pt idx="1">
                  <c:v>Baseline</c:v>
                </c:pt>
                <c:pt idx="2">
                  <c:v>High</c:v>
                </c:pt>
              </c:strCache>
            </c:strRef>
          </c:cat>
          <c:val>
            <c:numRef>
              <c:f>Historical_Cost!$J$20:$L$20</c:f>
              <c:numCache>
                <c:formatCode>_(* #,##0_);_(* \(#,##0\);_(* "-"??_);_(@_)</c:formatCode>
                <c:ptCount val="3"/>
                <c:pt idx="0">
                  <c:v>3430714</c:v>
                </c:pt>
                <c:pt idx="1">
                  <c:v>3920816</c:v>
                </c:pt>
                <c:pt idx="2">
                  <c:v>4165867</c:v>
                </c:pt>
              </c:numCache>
            </c:numRef>
          </c:val>
          <c:extLst>
            <c:ext xmlns:c16="http://schemas.microsoft.com/office/drawing/2014/chart" uri="{C3380CC4-5D6E-409C-BE32-E72D297353CC}">
              <c16:uniqueId val="{00000001-7EEB-41C4-9A0E-8AF65AB08C05}"/>
            </c:ext>
          </c:extLst>
        </c:ser>
        <c:ser>
          <c:idx val="2"/>
          <c:order val="2"/>
          <c:tx>
            <c:strRef>
              <c:f>Historical_Cost!$A$21</c:f>
              <c:strCache>
                <c:ptCount val="1"/>
                <c:pt idx="0">
                  <c:v>Near Earth Robotic - GEO and Near Earth</c:v>
                </c:pt>
              </c:strCache>
            </c:strRef>
          </c:tx>
          <c:spPr>
            <a:solidFill>
              <a:schemeClr val="accent3"/>
            </a:solidFill>
            <a:ln>
              <a:noFill/>
            </a:ln>
            <a:effectLst/>
          </c:spPr>
          <c:invertIfNegative val="0"/>
          <c:cat>
            <c:strRef>
              <c:f>Historical_Cost!$J$18:$L$18</c:f>
              <c:strCache>
                <c:ptCount val="3"/>
                <c:pt idx="0">
                  <c:v>Low</c:v>
                </c:pt>
                <c:pt idx="1">
                  <c:v>Baseline</c:v>
                </c:pt>
                <c:pt idx="2">
                  <c:v>High</c:v>
                </c:pt>
              </c:strCache>
            </c:strRef>
          </c:cat>
          <c:val>
            <c:numRef>
              <c:f>Historical_Cost!$J$21:$L$21</c:f>
              <c:numCache>
                <c:formatCode>_(* #,##0_);_(* \(#,##0\);_(* "-"??_);_(@_)</c:formatCode>
                <c:ptCount val="3"/>
                <c:pt idx="0">
                  <c:v>1715357</c:v>
                </c:pt>
                <c:pt idx="1">
                  <c:v>1715357</c:v>
                </c:pt>
                <c:pt idx="2">
                  <c:v>1960408</c:v>
                </c:pt>
              </c:numCache>
            </c:numRef>
          </c:val>
          <c:extLst>
            <c:ext xmlns:c16="http://schemas.microsoft.com/office/drawing/2014/chart" uri="{C3380CC4-5D6E-409C-BE32-E72D297353CC}">
              <c16:uniqueId val="{00000002-7EEB-41C4-9A0E-8AF65AB08C05}"/>
            </c:ext>
          </c:extLst>
        </c:ser>
        <c:ser>
          <c:idx val="3"/>
          <c:order val="3"/>
          <c:tx>
            <c:strRef>
              <c:f>Historical_Cost!$A$22</c:f>
              <c:strCache>
                <c:ptCount val="1"/>
                <c:pt idx="0">
                  <c:v>Deep Space Robotic</c:v>
                </c:pt>
              </c:strCache>
            </c:strRef>
          </c:tx>
          <c:spPr>
            <a:solidFill>
              <a:schemeClr val="accent4"/>
            </a:solidFill>
            <a:ln>
              <a:noFill/>
            </a:ln>
            <a:effectLst/>
          </c:spPr>
          <c:invertIfNegative val="0"/>
          <c:cat>
            <c:strRef>
              <c:f>Historical_Cost!$J$18:$L$18</c:f>
              <c:strCache>
                <c:ptCount val="3"/>
                <c:pt idx="0">
                  <c:v>Low</c:v>
                </c:pt>
                <c:pt idx="1">
                  <c:v>Baseline</c:v>
                </c:pt>
                <c:pt idx="2">
                  <c:v>High</c:v>
                </c:pt>
              </c:strCache>
            </c:strRef>
          </c:cat>
          <c:val>
            <c:numRef>
              <c:f>Historical_Cost!$J$22:$L$22</c:f>
              <c:numCache>
                <c:formatCode>_(* #,##0_);_(* \(#,##0\);_(* "-"??_);_(@_)</c:formatCode>
                <c:ptCount val="3"/>
                <c:pt idx="0">
                  <c:v>0</c:v>
                </c:pt>
                <c:pt idx="1">
                  <c:v>0</c:v>
                </c:pt>
                <c:pt idx="2">
                  <c:v>0</c:v>
                </c:pt>
              </c:numCache>
            </c:numRef>
          </c:val>
          <c:extLst>
            <c:ext xmlns:c16="http://schemas.microsoft.com/office/drawing/2014/chart" uri="{C3380CC4-5D6E-409C-BE32-E72D297353CC}">
              <c16:uniqueId val="{00000004-7EEB-41C4-9A0E-8AF65AB08C05}"/>
            </c:ext>
          </c:extLst>
        </c:ser>
        <c:ser>
          <c:idx val="4"/>
          <c:order val="4"/>
          <c:tx>
            <c:strRef>
              <c:f>Historical_Cost!$A$23</c:f>
              <c:strCache>
                <c:ptCount val="1"/>
                <c:pt idx="0">
                  <c:v>Near Earth Robotic - Low Latency &amp; Complex Needs</c:v>
                </c:pt>
              </c:strCache>
            </c:strRef>
          </c:tx>
          <c:spPr>
            <a:solidFill>
              <a:schemeClr val="accent5"/>
            </a:solidFill>
            <a:ln>
              <a:noFill/>
            </a:ln>
            <a:effectLst/>
          </c:spPr>
          <c:invertIfNegative val="0"/>
          <c:cat>
            <c:strRef>
              <c:f>Historical_Cost!$J$18:$L$18</c:f>
              <c:strCache>
                <c:ptCount val="3"/>
                <c:pt idx="0">
                  <c:v>Low</c:v>
                </c:pt>
                <c:pt idx="1">
                  <c:v>Baseline</c:v>
                </c:pt>
                <c:pt idx="2">
                  <c:v>High</c:v>
                </c:pt>
              </c:strCache>
            </c:strRef>
          </c:cat>
          <c:val>
            <c:numRef>
              <c:f>Historical_Cost!$J$23:$L$23</c:f>
              <c:numCache>
                <c:formatCode>_(* #,##0_);_(* \(#,##0\);_(* "-"??_);_(@_)</c:formatCode>
                <c:ptCount val="3"/>
                <c:pt idx="0">
                  <c:v>0</c:v>
                </c:pt>
                <c:pt idx="1">
                  <c:v>0</c:v>
                </c:pt>
                <c:pt idx="2">
                  <c:v>0</c:v>
                </c:pt>
              </c:numCache>
            </c:numRef>
          </c:val>
          <c:extLst>
            <c:ext xmlns:c16="http://schemas.microsoft.com/office/drawing/2014/chart" uri="{C3380CC4-5D6E-409C-BE32-E72D297353CC}">
              <c16:uniqueId val="{00000005-7EEB-41C4-9A0E-8AF65AB08C05}"/>
            </c:ext>
          </c:extLst>
        </c:ser>
        <c:ser>
          <c:idx val="5"/>
          <c:order val="5"/>
          <c:tx>
            <c:strRef>
              <c:f>Historical_Cost!$A$24</c:f>
              <c:strCache>
                <c:ptCount val="1"/>
                <c:pt idx="0">
                  <c:v>Mission Operations</c:v>
                </c:pt>
              </c:strCache>
            </c:strRef>
          </c:tx>
          <c:spPr>
            <a:solidFill>
              <a:schemeClr val="accent6"/>
            </a:solidFill>
            <a:ln>
              <a:noFill/>
            </a:ln>
            <a:effectLst/>
          </c:spPr>
          <c:invertIfNegative val="0"/>
          <c:cat>
            <c:strRef>
              <c:f>Historical_Cost!$J$18:$L$18</c:f>
              <c:strCache>
                <c:ptCount val="3"/>
                <c:pt idx="0">
                  <c:v>Low</c:v>
                </c:pt>
                <c:pt idx="1">
                  <c:v>Baseline</c:v>
                </c:pt>
                <c:pt idx="2">
                  <c:v>High</c:v>
                </c:pt>
              </c:strCache>
            </c:strRef>
          </c:cat>
          <c:val>
            <c:numRef>
              <c:f>Historical_Cost!$J$24:$L$24</c:f>
              <c:numCache>
                <c:formatCode>_(* #,##0_);_(* \(#,##0\);_(* "-"??_);_(@_)</c:formatCode>
                <c:ptCount val="3"/>
                <c:pt idx="0">
                  <c:v>0</c:v>
                </c:pt>
                <c:pt idx="1">
                  <c:v>0</c:v>
                </c:pt>
                <c:pt idx="2">
                  <c:v>0</c:v>
                </c:pt>
              </c:numCache>
            </c:numRef>
          </c:val>
          <c:extLst>
            <c:ext xmlns:c16="http://schemas.microsoft.com/office/drawing/2014/chart" uri="{C3380CC4-5D6E-409C-BE32-E72D297353CC}">
              <c16:uniqueId val="{00000006-7EEB-41C4-9A0E-8AF65AB08C05}"/>
            </c:ext>
          </c:extLst>
        </c:ser>
        <c:ser>
          <c:idx val="6"/>
          <c:order val="6"/>
          <c:tx>
            <c:strRef>
              <c:f>Historical_Cost!$A$25</c:f>
              <c:strCache>
                <c:ptCount val="1"/>
                <c:pt idx="0">
                  <c:v>Terrestrial &amp; Aerial</c:v>
                </c:pt>
              </c:strCache>
            </c:strRef>
          </c:tx>
          <c:spPr>
            <a:solidFill>
              <a:schemeClr val="accent1">
                <a:lumMod val="60000"/>
              </a:schemeClr>
            </a:solidFill>
            <a:ln>
              <a:noFill/>
            </a:ln>
            <a:effectLst/>
          </c:spPr>
          <c:invertIfNegative val="0"/>
          <c:cat>
            <c:strRef>
              <c:f>Historical_Cost!$J$18:$L$18</c:f>
              <c:strCache>
                <c:ptCount val="3"/>
                <c:pt idx="0">
                  <c:v>Low</c:v>
                </c:pt>
                <c:pt idx="1">
                  <c:v>Baseline</c:v>
                </c:pt>
                <c:pt idx="2">
                  <c:v>High</c:v>
                </c:pt>
              </c:strCache>
            </c:strRef>
          </c:cat>
          <c:val>
            <c:numRef>
              <c:f>Historical_Cost!$J$25:$L$25</c:f>
              <c:numCache>
                <c:formatCode>_(* #,##0_);_(* \(#,##0\);_(* "-"??_);_(@_)</c:formatCode>
                <c:ptCount val="3"/>
                <c:pt idx="0">
                  <c:v>0</c:v>
                </c:pt>
                <c:pt idx="1">
                  <c:v>0</c:v>
                </c:pt>
                <c:pt idx="2">
                  <c:v>0</c:v>
                </c:pt>
              </c:numCache>
            </c:numRef>
          </c:val>
          <c:extLst>
            <c:ext xmlns:c16="http://schemas.microsoft.com/office/drawing/2014/chart" uri="{C3380CC4-5D6E-409C-BE32-E72D297353CC}">
              <c16:uniqueId val="{00000007-7EEB-41C4-9A0E-8AF65AB08C05}"/>
            </c:ext>
          </c:extLst>
        </c:ser>
        <c:dLbls>
          <c:showLegendKey val="0"/>
          <c:showVal val="0"/>
          <c:showCatName val="0"/>
          <c:showSerName val="0"/>
          <c:showPercent val="0"/>
          <c:showBubbleSize val="0"/>
        </c:dLbls>
        <c:gapWidth val="150"/>
        <c:overlap val="100"/>
        <c:axId val="137607664"/>
        <c:axId val="292447984"/>
      </c:barChart>
      <c:catAx>
        <c:axId val="13760766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NASA Mission Projection Scenario</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2447984"/>
        <c:crosses val="autoZero"/>
        <c:auto val="1"/>
        <c:lblAlgn val="ctr"/>
        <c:lblOffset val="100"/>
        <c:noMultiLvlLbl val="0"/>
      </c:catAx>
      <c:valAx>
        <c:axId val="29244798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Current USD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607664"/>
        <c:crosses val="autoZero"/>
        <c:crossBetween val="between"/>
      </c:valAx>
      <c:spPr>
        <a:noFill/>
        <a:ln>
          <a:noFill/>
        </a:ln>
        <a:effectLst/>
      </c:spPr>
    </c:plotArea>
    <c:legend>
      <c:legendPos val="b"/>
      <c:layout>
        <c:manualLayout>
          <c:xMode val="edge"/>
          <c:yMode val="edge"/>
          <c:x val="4.5118163382714668E-2"/>
          <c:y val="0.81712453353338443"/>
          <c:w val="0.91471673487464633"/>
          <c:h val="0.17138423522680296"/>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b="0" i="0" baseline="0">
                <a:effectLst/>
              </a:rPr>
              <a:t>Total Cost for Commerically-Provided Space Relay (SR) Assured Data Delivery (ADD) Services for 2022</a:t>
            </a:r>
            <a:endParaRPr lang="en-US" sz="1000">
              <a:effectLst/>
            </a:endParaRPr>
          </a:p>
        </c:rich>
      </c:tx>
      <c:layout>
        <c:manualLayout>
          <c:xMode val="edge"/>
          <c:yMode val="edge"/>
          <c:x val="0.11963888040226967"/>
          <c:y val="1.6483471912390996E-2"/>
        </c:manualLayout>
      </c:layout>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5067136050814248"/>
          <c:y val="0.20457169604725381"/>
          <c:w val="0.82165449393853007"/>
          <c:h val="0.44703985763921233"/>
        </c:manualLayout>
      </c:layout>
      <c:barChart>
        <c:barDir val="col"/>
        <c:grouping val="stacked"/>
        <c:varyColors val="0"/>
        <c:ser>
          <c:idx val="0"/>
          <c:order val="0"/>
          <c:tx>
            <c:strRef>
              <c:f>Historical_Cost!$A$31</c:f>
              <c:strCache>
                <c:ptCount val="1"/>
                <c:pt idx="0">
                  <c:v>Human Space Flight</c:v>
                </c:pt>
              </c:strCache>
            </c:strRef>
          </c:tx>
          <c:spPr>
            <a:solidFill>
              <a:schemeClr val="accent1"/>
            </a:solidFill>
            <a:ln>
              <a:noFill/>
            </a:ln>
            <a:effectLst/>
          </c:spPr>
          <c:invertIfNegative val="0"/>
          <c:cat>
            <c:strRef>
              <c:f>Historical_Cost!$J$18:$L$18</c:f>
              <c:strCache>
                <c:ptCount val="3"/>
                <c:pt idx="0">
                  <c:v>Low</c:v>
                </c:pt>
                <c:pt idx="1">
                  <c:v>Baseline</c:v>
                </c:pt>
                <c:pt idx="2">
                  <c:v>High</c:v>
                </c:pt>
              </c:strCache>
            </c:strRef>
          </c:cat>
          <c:val>
            <c:numRef>
              <c:f>Historical_Cost!$J$31:$L$31</c:f>
              <c:numCache>
                <c:formatCode>_(* #,##0_);_(* \(#,##0\);_(* "-"??_);_(@_)</c:formatCode>
                <c:ptCount val="3"/>
                <c:pt idx="0">
                  <c:v>21468338.46153846</c:v>
                </c:pt>
                <c:pt idx="1">
                  <c:v>21468338.46153846</c:v>
                </c:pt>
                <c:pt idx="2">
                  <c:v>25762006.153846156</c:v>
                </c:pt>
              </c:numCache>
            </c:numRef>
          </c:val>
          <c:extLst>
            <c:ext xmlns:c16="http://schemas.microsoft.com/office/drawing/2014/chart" uri="{C3380CC4-5D6E-409C-BE32-E72D297353CC}">
              <c16:uniqueId val="{00000000-D60D-4777-9960-AAAFAAB2A249}"/>
            </c:ext>
          </c:extLst>
        </c:ser>
        <c:ser>
          <c:idx val="1"/>
          <c:order val="1"/>
          <c:tx>
            <c:strRef>
              <c:f>Historical_Cost!$A$32</c:f>
              <c:strCache>
                <c:ptCount val="1"/>
                <c:pt idx="0">
                  <c:v>Near Earth Robotic - LEO Science</c:v>
                </c:pt>
              </c:strCache>
            </c:strRef>
          </c:tx>
          <c:spPr>
            <a:solidFill>
              <a:schemeClr val="accent2"/>
            </a:solidFill>
            <a:ln>
              <a:noFill/>
            </a:ln>
            <a:effectLst/>
          </c:spPr>
          <c:invertIfNegative val="0"/>
          <c:cat>
            <c:strRef>
              <c:f>Historical_Cost!$J$18:$L$18</c:f>
              <c:strCache>
                <c:ptCount val="3"/>
                <c:pt idx="0">
                  <c:v>Low</c:v>
                </c:pt>
                <c:pt idx="1">
                  <c:v>Baseline</c:v>
                </c:pt>
                <c:pt idx="2">
                  <c:v>High</c:v>
                </c:pt>
              </c:strCache>
            </c:strRef>
          </c:cat>
          <c:val>
            <c:numRef>
              <c:f>Historical_Cost!$J$32:$L$32</c:f>
              <c:numCache>
                <c:formatCode>_(* #,##0_);_(* \(#,##0\);_(* "-"??_);_(@_)</c:formatCode>
                <c:ptCount val="3"/>
                <c:pt idx="0">
                  <c:v>34349341.538461536</c:v>
                </c:pt>
                <c:pt idx="1">
                  <c:v>34349341.538461536</c:v>
                </c:pt>
                <c:pt idx="2">
                  <c:v>38643009.230769232</c:v>
                </c:pt>
              </c:numCache>
            </c:numRef>
          </c:val>
          <c:extLst>
            <c:ext xmlns:c16="http://schemas.microsoft.com/office/drawing/2014/chart" uri="{C3380CC4-5D6E-409C-BE32-E72D297353CC}">
              <c16:uniqueId val="{00000001-D60D-4777-9960-AAAFAAB2A249}"/>
            </c:ext>
          </c:extLst>
        </c:ser>
        <c:ser>
          <c:idx val="2"/>
          <c:order val="2"/>
          <c:tx>
            <c:strRef>
              <c:f>Historical_Cost!$A$33</c:f>
              <c:strCache>
                <c:ptCount val="1"/>
                <c:pt idx="0">
                  <c:v>Near Earth Robotic - GEO and Near Earth</c:v>
                </c:pt>
              </c:strCache>
            </c:strRef>
          </c:tx>
          <c:spPr>
            <a:solidFill>
              <a:schemeClr val="accent3"/>
            </a:solidFill>
            <a:ln>
              <a:noFill/>
            </a:ln>
            <a:effectLst/>
          </c:spPr>
          <c:invertIfNegative val="0"/>
          <c:cat>
            <c:strRef>
              <c:f>Historical_Cost!$J$18:$L$18</c:f>
              <c:strCache>
                <c:ptCount val="3"/>
                <c:pt idx="0">
                  <c:v>Low</c:v>
                </c:pt>
                <c:pt idx="1">
                  <c:v>Baseline</c:v>
                </c:pt>
                <c:pt idx="2">
                  <c:v>High</c:v>
                </c:pt>
              </c:strCache>
            </c:strRef>
          </c:cat>
          <c:val>
            <c:numRef>
              <c:f>Historical_Cost!$J$33:$L$33</c:f>
              <c:numCache>
                <c:formatCode>_(* #,##0_);_(* \(#,##0\);_(* "-"??_);_(@_)</c:formatCode>
                <c:ptCount val="3"/>
                <c:pt idx="0">
                  <c:v>4293667.692307692</c:v>
                </c:pt>
                <c:pt idx="1">
                  <c:v>4293667.692307692</c:v>
                </c:pt>
                <c:pt idx="2">
                  <c:v>4293667.692307692</c:v>
                </c:pt>
              </c:numCache>
            </c:numRef>
          </c:val>
          <c:extLst>
            <c:ext xmlns:c16="http://schemas.microsoft.com/office/drawing/2014/chart" uri="{C3380CC4-5D6E-409C-BE32-E72D297353CC}">
              <c16:uniqueId val="{00000002-D60D-4777-9960-AAAFAAB2A249}"/>
            </c:ext>
          </c:extLst>
        </c:ser>
        <c:ser>
          <c:idx val="3"/>
          <c:order val="3"/>
          <c:tx>
            <c:strRef>
              <c:f>Historical_Cost!$A$34</c:f>
              <c:strCache>
                <c:ptCount val="1"/>
                <c:pt idx="0">
                  <c:v>Deep Space Robotic</c:v>
                </c:pt>
              </c:strCache>
            </c:strRef>
          </c:tx>
          <c:spPr>
            <a:solidFill>
              <a:schemeClr val="accent4"/>
            </a:solidFill>
            <a:ln>
              <a:noFill/>
            </a:ln>
            <a:effectLst/>
          </c:spPr>
          <c:invertIfNegative val="0"/>
          <c:cat>
            <c:strRef>
              <c:f>Historical_Cost!$J$18:$L$18</c:f>
              <c:strCache>
                <c:ptCount val="3"/>
                <c:pt idx="0">
                  <c:v>Low</c:v>
                </c:pt>
                <c:pt idx="1">
                  <c:v>Baseline</c:v>
                </c:pt>
                <c:pt idx="2">
                  <c:v>High</c:v>
                </c:pt>
              </c:strCache>
            </c:strRef>
          </c:cat>
          <c:val>
            <c:numRef>
              <c:f>Historical_Cost!$J$34:$L$34</c:f>
              <c:numCache>
                <c:formatCode>_(* #,##0_);_(* \(#,##0\);_(* "-"??_);_(@_)</c:formatCode>
                <c:ptCount val="3"/>
                <c:pt idx="0">
                  <c:v>0</c:v>
                </c:pt>
                <c:pt idx="1">
                  <c:v>0</c:v>
                </c:pt>
                <c:pt idx="2">
                  <c:v>0</c:v>
                </c:pt>
              </c:numCache>
            </c:numRef>
          </c:val>
          <c:extLst>
            <c:ext xmlns:c16="http://schemas.microsoft.com/office/drawing/2014/chart" uri="{C3380CC4-5D6E-409C-BE32-E72D297353CC}">
              <c16:uniqueId val="{00000003-D60D-4777-9960-AAAFAAB2A249}"/>
            </c:ext>
          </c:extLst>
        </c:ser>
        <c:ser>
          <c:idx val="4"/>
          <c:order val="4"/>
          <c:tx>
            <c:strRef>
              <c:f>Historical_Cost!$A$35</c:f>
              <c:strCache>
                <c:ptCount val="1"/>
                <c:pt idx="0">
                  <c:v>Near Earth Robotic - Low Latency &amp; Complex Needs</c:v>
                </c:pt>
              </c:strCache>
            </c:strRef>
          </c:tx>
          <c:spPr>
            <a:solidFill>
              <a:schemeClr val="accent5"/>
            </a:solidFill>
            <a:ln>
              <a:noFill/>
            </a:ln>
            <a:effectLst/>
          </c:spPr>
          <c:invertIfNegative val="0"/>
          <c:cat>
            <c:strRef>
              <c:f>Historical_Cost!$J$18:$L$18</c:f>
              <c:strCache>
                <c:ptCount val="3"/>
                <c:pt idx="0">
                  <c:v>Low</c:v>
                </c:pt>
                <c:pt idx="1">
                  <c:v>Baseline</c:v>
                </c:pt>
                <c:pt idx="2">
                  <c:v>High</c:v>
                </c:pt>
              </c:strCache>
            </c:strRef>
          </c:cat>
          <c:val>
            <c:numRef>
              <c:f>Historical_Cost!$J$35:$L$35</c:f>
              <c:numCache>
                <c:formatCode>_(* #,##0_);_(* \(#,##0\);_(* "-"??_);_(@_)</c:formatCode>
                <c:ptCount val="3"/>
                <c:pt idx="0">
                  <c:v>4293667.692307692</c:v>
                </c:pt>
                <c:pt idx="1">
                  <c:v>4293667.692307692</c:v>
                </c:pt>
                <c:pt idx="2">
                  <c:v>4293667.692307692</c:v>
                </c:pt>
              </c:numCache>
            </c:numRef>
          </c:val>
          <c:extLst>
            <c:ext xmlns:c16="http://schemas.microsoft.com/office/drawing/2014/chart" uri="{C3380CC4-5D6E-409C-BE32-E72D297353CC}">
              <c16:uniqueId val="{00000004-D60D-4777-9960-AAAFAAB2A249}"/>
            </c:ext>
          </c:extLst>
        </c:ser>
        <c:ser>
          <c:idx val="5"/>
          <c:order val="5"/>
          <c:tx>
            <c:strRef>
              <c:f>Historical_Cost!$A$36</c:f>
              <c:strCache>
                <c:ptCount val="1"/>
                <c:pt idx="0">
                  <c:v>Mission Operations</c:v>
                </c:pt>
              </c:strCache>
            </c:strRef>
          </c:tx>
          <c:spPr>
            <a:solidFill>
              <a:schemeClr val="accent6"/>
            </a:solidFill>
            <a:ln>
              <a:noFill/>
            </a:ln>
            <a:effectLst/>
          </c:spPr>
          <c:invertIfNegative val="0"/>
          <c:cat>
            <c:strRef>
              <c:f>Historical_Cost!$J$18:$L$18</c:f>
              <c:strCache>
                <c:ptCount val="3"/>
                <c:pt idx="0">
                  <c:v>Low</c:v>
                </c:pt>
                <c:pt idx="1">
                  <c:v>Baseline</c:v>
                </c:pt>
                <c:pt idx="2">
                  <c:v>High</c:v>
                </c:pt>
              </c:strCache>
            </c:strRef>
          </c:cat>
          <c:val>
            <c:numRef>
              <c:f>Historical_Cost!$J$36:$L$36</c:f>
              <c:numCache>
                <c:formatCode>_(* #,##0_);_(* \(#,##0\);_(* "-"??_);_(@_)</c:formatCode>
                <c:ptCount val="3"/>
                <c:pt idx="0">
                  <c:v>0</c:v>
                </c:pt>
                <c:pt idx="1">
                  <c:v>0</c:v>
                </c:pt>
                <c:pt idx="2">
                  <c:v>0</c:v>
                </c:pt>
              </c:numCache>
            </c:numRef>
          </c:val>
          <c:extLst>
            <c:ext xmlns:c16="http://schemas.microsoft.com/office/drawing/2014/chart" uri="{C3380CC4-5D6E-409C-BE32-E72D297353CC}">
              <c16:uniqueId val="{00000005-D60D-4777-9960-AAAFAAB2A249}"/>
            </c:ext>
          </c:extLst>
        </c:ser>
        <c:ser>
          <c:idx val="6"/>
          <c:order val="6"/>
          <c:tx>
            <c:strRef>
              <c:f>Historical_Cost!$A$37</c:f>
              <c:strCache>
                <c:ptCount val="1"/>
                <c:pt idx="0">
                  <c:v>Terrestrial &amp; Aerial</c:v>
                </c:pt>
              </c:strCache>
            </c:strRef>
          </c:tx>
          <c:spPr>
            <a:solidFill>
              <a:schemeClr val="accent1">
                <a:lumMod val="60000"/>
              </a:schemeClr>
            </a:solidFill>
            <a:ln>
              <a:noFill/>
            </a:ln>
            <a:effectLst/>
          </c:spPr>
          <c:invertIfNegative val="0"/>
          <c:cat>
            <c:strRef>
              <c:f>Historical_Cost!$J$18:$L$18</c:f>
              <c:strCache>
                <c:ptCount val="3"/>
                <c:pt idx="0">
                  <c:v>Low</c:v>
                </c:pt>
                <c:pt idx="1">
                  <c:v>Baseline</c:v>
                </c:pt>
                <c:pt idx="2">
                  <c:v>High</c:v>
                </c:pt>
              </c:strCache>
            </c:strRef>
          </c:cat>
          <c:val>
            <c:numRef>
              <c:f>Historical_Cost!$J$37:$L$37</c:f>
              <c:numCache>
                <c:formatCode>_(* #,##0_);_(* \(#,##0\);_(* "-"??_);_(@_)</c:formatCode>
                <c:ptCount val="3"/>
                <c:pt idx="0">
                  <c:v>21468338.46153846</c:v>
                </c:pt>
                <c:pt idx="1">
                  <c:v>21468338.46153846</c:v>
                </c:pt>
                <c:pt idx="2">
                  <c:v>21468338.46153846</c:v>
                </c:pt>
              </c:numCache>
            </c:numRef>
          </c:val>
          <c:extLst>
            <c:ext xmlns:c16="http://schemas.microsoft.com/office/drawing/2014/chart" uri="{C3380CC4-5D6E-409C-BE32-E72D297353CC}">
              <c16:uniqueId val="{00000006-D60D-4777-9960-AAAFAAB2A249}"/>
            </c:ext>
          </c:extLst>
        </c:ser>
        <c:dLbls>
          <c:showLegendKey val="0"/>
          <c:showVal val="0"/>
          <c:showCatName val="0"/>
          <c:showSerName val="0"/>
          <c:showPercent val="0"/>
          <c:showBubbleSize val="0"/>
        </c:dLbls>
        <c:gapWidth val="150"/>
        <c:overlap val="100"/>
        <c:axId val="137607664"/>
        <c:axId val="292447984"/>
      </c:barChart>
      <c:catAx>
        <c:axId val="13760766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NASA Mission Projection Scenario</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2447984"/>
        <c:crosses val="autoZero"/>
        <c:auto val="1"/>
        <c:lblAlgn val="ctr"/>
        <c:lblOffset val="100"/>
        <c:noMultiLvlLbl val="0"/>
      </c:catAx>
      <c:valAx>
        <c:axId val="29244798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Current USD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607664"/>
        <c:crosses val="autoZero"/>
        <c:crossBetween val="between"/>
      </c:valAx>
      <c:spPr>
        <a:noFill/>
        <a:ln>
          <a:noFill/>
        </a:ln>
        <a:effectLst/>
      </c:spPr>
    </c:plotArea>
    <c:legend>
      <c:legendPos val="b"/>
      <c:layout>
        <c:manualLayout>
          <c:xMode val="edge"/>
          <c:yMode val="edge"/>
          <c:x val="4.5118163382714668E-2"/>
          <c:y val="0.81712453353338443"/>
          <c:w val="0.91471673487464633"/>
          <c:h val="0.17138423522680296"/>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a:t>Total Cost</a:t>
            </a:r>
            <a:r>
              <a:rPr lang="en-US" sz="1200" baseline="0"/>
              <a:t> for Commercially-Provided </a:t>
            </a:r>
            <a:r>
              <a:rPr lang="en-US" sz="1200" b="0" i="0" u="none" strike="noStrike" baseline="0">
                <a:effectLst/>
              </a:rPr>
              <a:t>Direct To Earth (DTE) </a:t>
            </a:r>
            <a:r>
              <a:rPr lang="en-US" sz="1200" baseline="0"/>
              <a:t>File Data Delivery and Networking (FDDN) Services for 2022</a:t>
            </a:r>
            <a:endParaRPr lang="en-US" sz="1200"/>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5067136050814248"/>
          <c:y val="0.20457169604725381"/>
          <c:w val="0.82165449393853007"/>
          <c:h val="0.44703985763921233"/>
        </c:manualLayout>
      </c:layout>
      <c:barChart>
        <c:barDir val="col"/>
        <c:grouping val="stacked"/>
        <c:varyColors val="0"/>
        <c:ser>
          <c:idx val="0"/>
          <c:order val="0"/>
          <c:tx>
            <c:strRef>
              <c:f>Historical_Cost!$A$62</c:f>
              <c:strCache>
                <c:ptCount val="1"/>
                <c:pt idx="0">
                  <c:v>Human Space Flight</c:v>
                </c:pt>
              </c:strCache>
            </c:strRef>
          </c:tx>
          <c:spPr>
            <a:solidFill>
              <a:schemeClr val="accent1"/>
            </a:solidFill>
            <a:ln>
              <a:noFill/>
            </a:ln>
            <a:effectLst/>
          </c:spPr>
          <c:invertIfNegative val="0"/>
          <c:cat>
            <c:strRef>
              <c:f>Historical_Cost!$J$18:$L$18</c:f>
              <c:strCache>
                <c:ptCount val="3"/>
                <c:pt idx="0">
                  <c:v>Low</c:v>
                </c:pt>
                <c:pt idx="1">
                  <c:v>Baseline</c:v>
                </c:pt>
                <c:pt idx="2">
                  <c:v>High</c:v>
                </c:pt>
              </c:strCache>
            </c:strRef>
          </c:cat>
          <c:val>
            <c:numRef>
              <c:f>Historical_Cost!$J$62:$L$62</c:f>
              <c:numCache>
                <c:formatCode>_(* #,##0_);_(* \(#,##0\);_(* "-"??_);_(@_)</c:formatCode>
                <c:ptCount val="3"/>
                <c:pt idx="0">
                  <c:v>245051</c:v>
                </c:pt>
                <c:pt idx="1">
                  <c:v>245051</c:v>
                </c:pt>
                <c:pt idx="2">
                  <c:v>245051</c:v>
                </c:pt>
              </c:numCache>
            </c:numRef>
          </c:val>
          <c:extLst>
            <c:ext xmlns:c16="http://schemas.microsoft.com/office/drawing/2014/chart" uri="{C3380CC4-5D6E-409C-BE32-E72D297353CC}">
              <c16:uniqueId val="{00000000-FDF5-4FE7-86A6-39764ACED46F}"/>
            </c:ext>
          </c:extLst>
        </c:ser>
        <c:ser>
          <c:idx val="1"/>
          <c:order val="1"/>
          <c:tx>
            <c:strRef>
              <c:f>Historical_Cost!$A$63</c:f>
              <c:strCache>
                <c:ptCount val="1"/>
                <c:pt idx="0">
                  <c:v>Near Earth Robotic - LEO Science</c:v>
                </c:pt>
              </c:strCache>
            </c:strRef>
          </c:tx>
          <c:spPr>
            <a:solidFill>
              <a:schemeClr val="accent2"/>
            </a:solidFill>
            <a:ln>
              <a:noFill/>
            </a:ln>
            <a:effectLst/>
          </c:spPr>
          <c:invertIfNegative val="0"/>
          <c:cat>
            <c:strRef>
              <c:f>Historical_Cost!$J$18:$L$18</c:f>
              <c:strCache>
                <c:ptCount val="3"/>
                <c:pt idx="0">
                  <c:v>Low</c:v>
                </c:pt>
                <c:pt idx="1">
                  <c:v>Baseline</c:v>
                </c:pt>
                <c:pt idx="2">
                  <c:v>High</c:v>
                </c:pt>
              </c:strCache>
            </c:strRef>
          </c:cat>
          <c:val>
            <c:numRef>
              <c:f>Historical_Cost!$J$63:$L$63</c:f>
              <c:numCache>
                <c:formatCode>_(* #,##0_);_(* \(#,##0\);_(* "-"??_);_(@_)</c:formatCode>
                <c:ptCount val="3"/>
                <c:pt idx="0">
                  <c:v>3185663</c:v>
                </c:pt>
                <c:pt idx="1">
                  <c:v>3430714</c:v>
                </c:pt>
                <c:pt idx="2">
                  <c:v>3920816</c:v>
                </c:pt>
              </c:numCache>
            </c:numRef>
          </c:val>
          <c:extLst>
            <c:ext xmlns:c16="http://schemas.microsoft.com/office/drawing/2014/chart" uri="{C3380CC4-5D6E-409C-BE32-E72D297353CC}">
              <c16:uniqueId val="{00000001-FDF5-4FE7-86A6-39764ACED46F}"/>
            </c:ext>
          </c:extLst>
        </c:ser>
        <c:ser>
          <c:idx val="2"/>
          <c:order val="2"/>
          <c:tx>
            <c:strRef>
              <c:f>Historical_Cost!$A$64</c:f>
              <c:strCache>
                <c:ptCount val="1"/>
                <c:pt idx="0">
                  <c:v>Near Earth Robotic - GEO and Near Earth</c:v>
                </c:pt>
              </c:strCache>
            </c:strRef>
          </c:tx>
          <c:spPr>
            <a:solidFill>
              <a:schemeClr val="accent3"/>
            </a:solidFill>
            <a:ln>
              <a:noFill/>
            </a:ln>
            <a:effectLst/>
          </c:spPr>
          <c:invertIfNegative val="0"/>
          <c:cat>
            <c:strRef>
              <c:f>Historical_Cost!$J$18:$L$18</c:f>
              <c:strCache>
                <c:ptCount val="3"/>
                <c:pt idx="0">
                  <c:v>Low</c:v>
                </c:pt>
                <c:pt idx="1">
                  <c:v>Baseline</c:v>
                </c:pt>
                <c:pt idx="2">
                  <c:v>High</c:v>
                </c:pt>
              </c:strCache>
            </c:strRef>
          </c:cat>
          <c:val>
            <c:numRef>
              <c:f>Historical_Cost!$J$64:$L$64</c:f>
              <c:numCache>
                <c:formatCode>_(* #,##0_);_(* \(#,##0\);_(* "-"??_);_(@_)</c:formatCode>
                <c:ptCount val="3"/>
                <c:pt idx="0">
                  <c:v>1470306</c:v>
                </c:pt>
                <c:pt idx="1">
                  <c:v>1715357</c:v>
                </c:pt>
                <c:pt idx="2">
                  <c:v>1715357</c:v>
                </c:pt>
              </c:numCache>
            </c:numRef>
          </c:val>
          <c:extLst>
            <c:ext xmlns:c16="http://schemas.microsoft.com/office/drawing/2014/chart" uri="{C3380CC4-5D6E-409C-BE32-E72D297353CC}">
              <c16:uniqueId val="{00000002-FDF5-4FE7-86A6-39764ACED46F}"/>
            </c:ext>
          </c:extLst>
        </c:ser>
        <c:ser>
          <c:idx val="3"/>
          <c:order val="3"/>
          <c:tx>
            <c:strRef>
              <c:f>Historical_Cost!$A$65</c:f>
              <c:strCache>
                <c:ptCount val="1"/>
                <c:pt idx="0">
                  <c:v>Deep Space Robotic</c:v>
                </c:pt>
              </c:strCache>
            </c:strRef>
          </c:tx>
          <c:spPr>
            <a:solidFill>
              <a:schemeClr val="accent4"/>
            </a:solidFill>
            <a:ln>
              <a:noFill/>
            </a:ln>
            <a:effectLst/>
          </c:spPr>
          <c:invertIfNegative val="0"/>
          <c:cat>
            <c:strRef>
              <c:f>Historical_Cost!$J$18:$L$18</c:f>
              <c:strCache>
                <c:ptCount val="3"/>
                <c:pt idx="0">
                  <c:v>Low</c:v>
                </c:pt>
                <c:pt idx="1">
                  <c:v>Baseline</c:v>
                </c:pt>
                <c:pt idx="2">
                  <c:v>High</c:v>
                </c:pt>
              </c:strCache>
            </c:strRef>
          </c:cat>
          <c:val>
            <c:numRef>
              <c:f>Historical_Cost!$J$65:$L$65</c:f>
              <c:numCache>
                <c:formatCode>_(* #,##0_);_(* \(#,##0\);_(* "-"??_);_(@_)</c:formatCode>
                <c:ptCount val="3"/>
                <c:pt idx="0">
                  <c:v>0</c:v>
                </c:pt>
                <c:pt idx="1">
                  <c:v>0</c:v>
                </c:pt>
                <c:pt idx="2">
                  <c:v>0</c:v>
                </c:pt>
              </c:numCache>
            </c:numRef>
          </c:val>
          <c:extLst>
            <c:ext xmlns:c16="http://schemas.microsoft.com/office/drawing/2014/chart" uri="{C3380CC4-5D6E-409C-BE32-E72D297353CC}">
              <c16:uniqueId val="{00000003-FDF5-4FE7-86A6-39764ACED46F}"/>
            </c:ext>
          </c:extLst>
        </c:ser>
        <c:ser>
          <c:idx val="4"/>
          <c:order val="4"/>
          <c:tx>
            <c:strRef>
              <c:f>Historical_Cost!$A$66</c:f>
              <c:strCache>
                <c:ptCount val="1"/>
                <c:pt idx="0">
                  <c:v>Near Earth Robotic - Low Latency &amp; Complex Needs</c:v>
                </c:pt>
              </c:strCache>
            </c:strRef>
          </c:tx>
          <c:spPr>
            <a:solidFill>
              <a:schemeClr val="accent5"/>
            </a:solidFill>
            <a:ln>
              <a:noFill/>
            </a:ln>
            <a:effectLst/>
          </c:spPr>
          <c:invertIfNegative val="0"/>
          <c:cat>
            <c:strRef>
              <c:f>Historical_Cost!$J$18:$L$18</c:f>
              <c:strCache>
                <c:ptCount val="3"/>
                <c:pt idx="0">
                  <c:v>Low</c:v>
                </c:pt>
                <c:pt idx="1">
                  <c:v>Baseline</c:v>
                </c:pt>
                <c:pt idx="2">
                  <c:v>High</c:v>
                </c:pt>
              </c:strCache>
            </c:strRef>
          </c:cat>
          <c:val>
            <c:numRef>
              <c:f>Historical_Cost!$J$66:$L$66</c:f>
              <c:numCache>
                <c:formatCode>_(* #,##0_);_(* \(#,##0\);_(* "-"??_);_(@_)</c:formatCode>
                <c:ptCount val="3"/>
                <c:pt idx="0">
                  <c:v>0</c:v>
                </c:pt>
                <c:pt idx="1">
                  <c:v>0</c:v>
                </c:pt>
                <c:pt idx="2">
                  <c:v>0</c:v>
                </c:pt>
              </c:numCache>
            </c:numRef>
          </c:val>
          <c:extLst>
            <c:ext xmlns:c16="http://schemas.microsoft.com/office/drawing/2014/chart" uri="{C3380CC4-5D6E-409C-BE32-E72D297353CC}">
              <c16:uniqueId val="{00000004-FDF5-4FE7-86A6-39764ACED46F}"/>
            </c:ext>
          </c:extLst>
        </c:ser>
        <c:ser>
          <c:idx val="5"/>
          <c:order val="5"/>
          <c:tx>
            <c:strRef>
              <c:f>Historical_Cost!$A$67</c:f>
              <c:strCache>
                <c:ptCount val="1"/>
                <c:pt idx="0">
                  <c:v>Mission Operations</c:v>
                </c:pt>
              </c:strCache>
            </c:strRef>
          </c:tx>
          <c:spPr>
            <a:solidFill>
              <a:schemeClr val="accent6"/>
            </a:solidFill>
            <a:ln>
              <a:noFill/>
            </a:ln>
            <a:effectLst/>
          </c:spPr>
          <c:invertIfNegative val="0"/>
          <c:cat>
            <c:strRef>
              <c:f>Historical_Cost!$J$18:$L$18</c:f>
              <c:strCache>
                <c:ptCount val="3"/>
                <c:pt idx="0">
                  <c:v>Low</c:v>
                </c:pt>
                <c:pt idx="1">
                  <c:v>Baseline</c:v>
                </c:pt>
                <c:pt idx="2">
                  <c:v>High</c:v>
                </c:pt>
              </c:strCache>
            </c:strRef>
          </c:cat>
          <c:val>
            <c:numRef>
              <c:f>Historical_Cost!$J$67:$L$67</c:f>
              <c:numCache>
                <c:formatCode>_(* #,##0_);_(* \(#,##0\);_(* "-"??_);_(@_)</c:formatCode>
                <c:ptCount val="3"/>
                <c:pt idx="0">
                  <c:v>0</c:v>
                </c:pt>
                <c:pt idx="1">
                  <c:v>0</c:v>
                </c:pt>
                <c:pt idx="2">
                  <c:v>0</c:v>
                </c:pt>
              </c:numCache>
            </c:numRef>
          </c:val>
          <c:extLst>
            <c:ext xmlns:c16="http://schemas.microsoft.com/office/drawing/2014/chart" uri="{C3380CC4-5D6E-409C-BE32-E72D297353CC}">
              <c16:uniqueId val="{00000005-FDF5-4FE7-86A6-39764ACED46F}"/>
            </c:ext>
          </c:extLst>
        </c:ser>
        <c:ser>
          <c:idx val="6"/>
          <c:order val="6"/>
          <c:tx>
            <c:strRef>
              <c:f>Historical_Cost!$A$68</c:f>
              <c:strCache>
                <c:ptCount val="1"/>
                <c:pt idx="0">
                  <c:v>Terrestrial &amp; Aerial</c:v>
                </c:pt>
              </c:strCache>
            </c:strRef>
          </c:tx>
          <c:spPr>
            <a:solidFill>
              <a:schemeClr val="accent1">
                <a:lumMod val="60000"/>
              </a:schemeClr>
            </a:solidFill>
            <a:ln>
              <a:noFill/>
            </a:ln>
            <a:effectLst/>
          </c:spPr>
          <c:invertIfNegative val="0"/>
          <c:cat>
            <c:strRef>
              <c:f>Historical_Cost!$J$18:$L$18</c:f>
              <c:strCache>
                <c:ptCount val="3"/>
                <c:pt idx="0">
                  <c:v>Low</c:v>
                </c:pt>
                <c:pt idx="1">
                  <c:v>Baseline</c:v>
                </c:pt>
                <c:pt idx="2">
                  <c:v>High</c:v>
                </c:pt>
              </c:strCache>
            </c:strRef>
          </c:cat>
          <c:val>
            <c:numRef>
              <c:f>Historical_Cost!$J$68:$L$68</c:f>
              <c:numCache>
                <c:formatCode>_(* #,##0_);_(* \(#,##0\);_(* "-"??_);_(@_)</c:formatCode>
                <c:ptCount val="3"/>
                <c:pt idx="0">
                  <c:v>0</c:v>
                </c:pt>
                <c:pt idx="1">
                  <c:v>0</c:v>
                </c:pt>
                <c:pt idx="2">
                  <c:v>0</c:v>
                </c:pt>
              </c:numCache>
            </c:numRef>
          </c:val>
          <c:extLst>
            <c:ext xmlns:c16="http://schemas.microsoft.com/office/drawing/2014/chart" uri="{C3380CC4-5D6E-409C-BE32-E72D297353CC}">
              <c16:uniqueId val="{00000006-FDF5-4FE7-86A6-39764ACED46F}"/>
            </c:ext>
          </c:extLst>
        </c:ser>
        <c:dLbls>
          <c:showLegendKey val="0"/>
          <c:showVal val="0"/>
          <c:showCatName val="0"/>
          <c:showSerName val="0"/>
          <c:showPercent val="0"/>
          <c:showBubbleSize val="0"/>
        </c:dLbls>
        <c:gapWidth val="150"/>
        <c:overlap val="100"/>
        <c:axId val="137607664"/>
        <c:axId val="292447984"/>
      </c:barChart>
      <c:catAx>
        <c:axId val="13760766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NASA Mission Projection Scenario</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2447984"/>
        <c:crosses val="autoZero"/>
        <c:auto val="1"/>
        <c:lblAlgn val="ctr"/>
        <c:lblOffset val="100"/>
        <c:noMultiLvlLbl val="0"/>
      </c:catAx>
      <c:valAx>
        <c:axId val="29244798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Current USD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607664"/>
        <c:crosses val="autoZero"/>
        <c:crossBetween val="between"/>
      </c:valAx>
      <c:spPr>
        <a:noFill/>
        <a:ln>
          <a:noFill/>
        </a:ln>
        <a:effectLst/>
      </c:spPr>
    </c:plotArea>
    <c:legend>
      <c:legendPos val="b"/>
      <c:layout>
        <c:manualLayout>
          <c:xMode val="edge"/>
          <c:yMode val="edge"/>
          <c:x val="4.5118163382714668E-2"/>
          <c:y val="0.81712453353338443"/>
          <c:w val="0.91471673487464633"/>
          <c:h val="0.17138423522680296"/>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a:t>Total Cost</a:t>
            </a:r>
            <a:r>
              <a:rPr lang="en-US" sz="1200" baseline="0"/>
              <a:t> for </a:t>
            </a:r>
            <a:r>
              <a:rPr lang="en-US" sz="1200" b="0" i="0" u="none" strike="noStrike" baseline="0">
                <a:effectLst/>
              </a:rPr>
              <a:t>Commercially-Provided Space Relay (SR) File Data Delivery and Networking (FDDN) S</a:t>
            </a:r>
            <a:r>
              <a:rPr lang="en-US" sz="1200" baseline="0"/>
              <a:t>ervices for 2022 </a:t>
            </a:r>
            <a:endParaRPr lang="en-US" sz="1200"/>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5067136050814248"/>
          <c:y val="0.20457169604725381"/>
          <c:w val="0.82165449393853007"/>
          <c:h val="0.44703985763921233"/>
        </c:manualLayout>
      </c:layout>
      <c:barChart>
        <c:barDir val="col"/>
        <c:grouping val="stacked"/>
        <c:varyColors val="0"/>
        <c:ser>
          <c:idx val="0"/>
          <c:order val="0"/>
          <c:tx>
            <c:strRef>
              <c:f>Historical_Cost!$A$74</c:f>
              <c:strCache>
                <c:ptCount val="1"/>
                <c:pt idx="0">
                  <c:v>Human Space Flight</c:v>
                </c:pt>
              </c:strCache>
            </c:strRef>
          </c:tx>
          <c:spPr>
            <a:solidFill>
              <a:schemeClr val="accent1"/>
            </a:solidFill>
            <a:ln>
              <a:noFill/>
            </a:ln>
            <a:effectLst/>
          </c:spPr>
          <c:invertIfNegative val="0"/>
          <c:cat>
            <c:strRef>
              <c:f>Historical_Cost!$J$18:$L$18</c:f>
              <c:strCache>
                <c:ptCount val="3"/>
                <c:pt idx="0">
                  <c:v>Low</c:v>
                </c:pt>
                <c:pt idx="1">
                  <c:v>Baseline</c:v>
                </c:pt>
                <c:pt idx="2">
                  <c:v>High</c:v>
                </c:pt>
              </c:strCache>
            </c:strRef>
          </c:cat>
          <c:val>
            <c:numRef>
              <c:f>Historical_Cost!$J$74:$L$74</c:f>
              <c:numCache>
                <c:formatCode>_(* #,##0_);_(* \(#,##0\);_(* "-"??_);_(@_)</c:formatCode>
                <c:ptCount val="3"/>
                <c:pt idx="0">
                  <c:v>12881003.076923078</c:v>
                </c:pt>
                <c:pt idx="1">
                  <c:v>17174670.769230768</c:v>
                </c:pt>
                <c:pt idx="2">
                  <c:v>17174670.769230768</c:v>
                </c:pt>
              </c:numCache>
            </c:numRef>
          </c:val>
          <c:extLst>
            <c:ext xmlns:c16="http://schemas.microsoft.com/office/drawing/2014/chart" uri="{C3380CC4-5D6E-409C-BE32-E72D297353CC}">
              <c16:uniqueId val="{00000000-BBA7-4838-BA40-5B6F3CAA0C68}"/>
            </c:ext>
          </c:extLst>
        </c:ser>
        <c:ser>
          <c:idx val="1"/>
          <c:order val="1"/>
          <c:tx>
            <c:strRef>
              <c:f>Historical_Cost!$A$75</c:f>
              <c:strCache>
                <c:ptCount val="1"/>
                <c:pt idx="0">
                  <c:v>Near Earth Robotic - LEO Science</c:v>
                </c:pt>
              </c:strCache>
            </c:strRef>
          </c:tx>
          <c:spPr>
            <a:solidFill>
              <a:schemeClr val="accent2"/>
            </a:solidFill>
            <a:ln>
              <a:noFill/>
            </a:ln>
            <a:effectLst/>
          </c:spPr>
          <c:invertIfNegative val="0"/>
          <c:cat>
            <c:strRef>
              <c:f>Historical_Cost!$J$18:$L$18</c:f>
              <c:strCache>
                <c:ptCount val="3"/>
                <c:pt idx="0">
                  <c:v>Low</c:v>
                </c:pt>
                <c:pt idx="1">
                  <c:v>Baseline</c:v>
                </c:pt>
                <c:pt idx="2">
                  <c:v>High</c:v>
                </c:pt>
              </c:strCache>
            </c:strRef>
          </c:cat>
          <c:val>
            <c:numRef>
              <c:f>Historical_Cost!$J$75:$L$75</c:f>
              <c:numCache>
                <c:formatCode>_(* #,##0_);_(* \(#,##0\);_(* "-"??_);_(@_)</c:formatCode>
                <c:ptCount val="3"/>
                <c:pt idx="0">
                  <c:v>21468338.46153846</c:v>
                </c:pt>
                <c:pt idx="1">
                  <c:v>25762006.153846156</c:v>
                </c:pt>
                <c:pt idx="2">
                  <c:v>25762006.153846156</c:v>
                </c:pt>
              </c:numCache>
            </c:numRef>
          </c:val>
          <c:extLst>
            <c:ext xmlns:c16="http://schemas.microsoft.com/office/drawing/2014/chart" uri="{C3380CC4-5D6E-409C-BE32-E72D297353CC}">
              <c16:uniqueId val="{00000001-BBA7-4838-BA40-5B6F3CAA0C68}"/>
            </c:ext>
          </c:extLst>
        </c:ser>
        <c:ser>
          <c:idx val="2"/>
          <c:order val="2"/>
          <c:tx>
            <c:strRef>
              <c:f>Historical_Cost!$A$76</c:f>
              <c:strCache>
                <c:ptCount val="1"/>
                <c:pt idx="0">
                  <c:v>Near Earth Robotic - GEO and Near Earth</c:v>
                </c:pt>
              </c:strCache>
            </c:strRef>
          </c:tx>
          <c:spPr>
            <a:solidFill>
              <a:schemeClr val="accent3"/>
            </a:solidFill>
            <a:ln>
              <a:noFill/>
            </a:ln>
            <a:effectLst/>
          </c:spPr>
          <c:invertIfNegative val="0"/>
          <c:cat>
            <c:strRef>
              <c:f>Historical_Cost!$J$18:$L$18</c:f>
              <c:strCache>
                <c:ptCount val="3"/>
                <c:pt idx="0">
                  <c:v>Low</c:v>
                </c:pt>
                <c:pt idx="1">
                  <c:v>Baseline</c:v>
                </c:pt>
                <c:pt idx="2">
                  <c:v>High</c:v>
                </c:pt>
              </c:strCache>
            </c:strRef>
          </c:cat>
          <c:val>
            <c:numRef>
              <c:f>Historical_Cost!$J$76:$L$76</c:f>
              <c:numCache>
                <c:formatCode>_(* #,##0_);_(* \(#,##0\);_(* "-"??_);_(@_)</c:formatCode>
                <c:ptCount val="3"/>
                <c:pt idx="0">
                  <c:v>4293667.692307692</c:v>
                </c:pt>
                <c:pt idx="1">
                  <c:v>4293667.692307692</c:v>
                </c:pt>
                <c:pt idx="2">
                  <c:v>4293667.692307692</c:v>
                </c:pt>
              </c:numCache>
            </c:numRef>
          </c:val>
          <c:extLst>
            <c:ext xmlns:c16="http://schemas.microsoft.com/office/drawing/2014/chart" uri="{C3380CC4-5D6E-409C-BE32-E72D297353CC}">
              <c16:uniqueId val="{00000002-BBA7-4838-BA40-5B6F3CAA0C68}"/>
            </c:ext>
          </c:extLst>
        </c:ser>
        <c:ser>
          <c:idx val="3"/>
          <c:order val="3"/>
          <c:tx>
            <c:strRef>
              <c:f>Historical_Cost!$A$77</c:f>
              <c:strCache>
                <c:ptCount val="1"/>
                <c:pt idx="0">
                  <c:v>Deep Space Robotic</c:v>
                </c:pt>
              </c:strCache>
            </c:strRef>
          </c:tx>
          <c:spPr>
            <a:solidFill>
              <a:schemeClr val="accent4"/>
            </a:solidFill>
            <a:ln>
              <a:noFill/>
            </a:ln>
            <a:effectLst/>
          </c:spPr>
          <c:invertIfNegative val="0"/>
          <c:cat>
            <c:strRef>
              <c:f>Historical_Cost!$J$18:$L$18</c:f>
              <c:strCache>
                <c:ptCount val="3"/>
                <c:pt idx="0">
                  <c:v>Low</c:v>
                </c:pt>
                <c:pt idx="1">
                  <c:v>Baseline</c:v>
                </c:pt>
                <c:pt idx="2">
                  <c:v>High</c:v>
                </c:pt>
              </c:strCache>
            </c:strRef>
          </c:cat>
          <c:val>
            <c:numRef>
              <c:f>Historical_Cost!$J$77:$L$77</c:f>
              <c:numCache>
                <c:formatCode>_(* #,##0_);_(* \(#,##0\);_(* "-"??_);_(@_)</c:formatCode>
                <c:ptCount val="3"/>
                <c:pt idx="0">
                  <c:v>0</c:v>
                </c:pt>
                <c:pt idx="1">
                  <c:v>0</c:v>
                </c:pt>
                <c:pt idx="2">
                  <c:v>0</c:v>
                </c:pt>
              </c:numCache>
            </c:numRef>
          </c:val>
          <c:extLst>
            <c:ext xmlns:c16="http://schemas.microsoft.com/office/drawing/2014/chart" uri="{C3380CC4-5D6E-409C-BE32-E72D297353CC}">
              <c16:uniqueId val="{00000003-BBA7-4838-BA40-5B6F3CAA0C68}"/>
            </c:ext>
          </c:extLst>
        </c:ser>
        <c:ser>
          <c:idx val="4"/>
          <c:order val="4"/>
          <c:tx>
            <c:strRef>
              <c:f>Historical_Cost!$A$78</c:f>
              <c:strCache>
                <c:ptCount val="1"/>
                <c:pt idx="0">
                  <c:v>Near Earth Robotic - Low Latency &amp; Complex Needs</c:v>
                </c:pt>
              </c:strCache>
            </c:strRef>
          </c:tx>
          <c:spPr>
            <a:solidFill>
              <a:schemeClr val="accent5"/>
            </a:solidFill>
            <a:ln>
              <a:noFill/>
            </a:ln>
            <a:effectLst/>
          </c:spPr>
          <c:invertIfNegative val="0"/>
          <c:cat>
            <c:strRef>
              <c:f>Historical_Cost!$J$18:$L$18</c:f>
              <c:strCache>
                <c:ptCount val="3"/>
                <c:pt idx="0">
                  <c:v>Low</c:v>
                </c:pt>
                <c:pt idx="1">
                  <c:v>Baseline</c:v>
                </c:pt>
                <c:pt idx="2">
                  <c:v>High</c:v>
                </c:pt>
              </c:strCache>
            </c:strRef>
          </c:cat>
          <c:val>
            <c:numRef>
              <c:f>Historical_Cost!$J$78:$L$78</c:f>
              <c:numCache>
                <c:formatCode>_(* #,##0_);_(* \(#,##0\);_(* "-"??_);_(@_)</c:formatCode>
                <c:ptCount val="3"/>
                <c:pt idx="0">
                  <c:v>0</c:v>
                </c:pt>
                <c:pt idx="1">
                  <c:v>0</c:v>
                </c:pt>
                <c:pt idx="2">
                  <c:v>4293667.692307692</c:v>
                </c:pt>
              </c:numCache>
            </c:numRef>
          </c:val>
          <c:extLst>
            <c:ext xmlns:c16="http://schemas.microsoft.com/office/drawing/2014/chart" uri="{C3380CC4-5D6E-409C-BE32-E72D297353CC}">
              <c16:uniqueId val="{00000004-BBA7-4838-BA40-5B6F3CAA0C68}"/>
            </c:ext>
          </c:extLst>
        </c:ser>
        <c:ser>
          <c:idx val="5"/>
          <c:order val="5"/>
          <c:tx>
            <c:strRef>
              <c:f>Historical_Cost!$A$79</c:f>
              <c:strCache>
                <c:ptCount val="1"/>
                <c:pt idx="0">
                  <c:v>Mission Operations</c:v>
                </c:pt>
              </c:strCache>
            </c:strRef>
          </c:tx>
          <c:spPr>
            <a:solidFill>
              <a:schemeClr val="accent6"/>
            </a:solidFill>
            <a:ln>
              <a:noFill/>
            </a:ln>
            <a:effectLst/>
          </c:spPr>
          <c:invertIfNegative val="0"/>
          <c:cat>
            <c:strRef>
              <c:f>Historical_Cost!$J$18:$L$18</c:f>
              <c:strCache>
                <c:ptCount val="3"/>
                <c:pt idx="0">
                  <c:v>Low</c:v>
                </c:pt>
                <c:pt idx="1">
                  <c:v>Baseline</c:v>
                </c:pt>
                <c:pt idx="2">
                  <c:v>High</c:v>
                </c:pt>
              </c:strCache>
            </c:strRef>
          </c:cat>
          <c:val>
            <c:numRef>
              <c:f>Historical_Cost!$J$79:$L$79</c:f>
              <c:numCache>
                <c:formatCode>_(* #,##0_);_(* \(#,##0\);_(* "-"??_);_(@_)</c:formatCode>
                <c:ptCount val="3"/>
                <c:pt idx="0">
                  <c:v>0</c:v>
                </c:pt>
                <c:pt idx="1">
                  <c:v>0</c:v>
                </c:pt>
                <c:pt idx="2">
                  <c:v>0</c:v>
                </c:pt>
              </c:numCache>
            </c:numRef>
          </c:val>
          <c:extLst>
            <c:ext xmlns:c16="http://schemas.microsoft.com/office/drawing/2014/chart" uri="{C3380CC4-5D6E-409C-BE32-E72D297353CC}">
              <c16:uniqueId val="{00000005-BBA7-4838-BA40-5B6F3CAA0C68}"/>
            </c:ext>
          </c:extLst>
        </c:ser>
        <c:ser>
          <c:idx val="6"/>
          <c:order val="6"/>
          <c:tx>
            <c:strRef>
              <c:f>Historical_Cost!$A$80</c:f>
              <c:strCache>
                <c:ptCount val="1"/>
                <c:pt idx="0">
                  <c:v>Terrestrial &amp; Aerial</c:v>
                </c:pt>
              </c:strCache>
            </c:strRef>
          </c:tx>
          <c:spPr>
            <a:solidFill>
              <a:schemeClr val="accent1">
                <a:lumMod val="60000"/>
              </a:schemeClr>
            </a:solidFill>
            <a:ln>
              <a:noFill/>
            </a:ln>
            <a:effectLst/>
          </c:spPr>
          <c:invertIfNegative val="0"/>
          <c:cat>
            <c:strRef>
              <c:f>Historical_Cost!$J$18:$L$18</c:f>
              <c:strCache>
                <c:ptCount val="3"/>
                <c:pt idx="0">
                  <c:v>Low</c:v>
                </c:pt>
                <c:pt idx="1">
                  <c:v>Baseline</c:v>
                </c:pt>
                <c:pt idx="2">
                  <c:v>High</c:v>
                </c:pt>
              </c:strCache>
            </c:strRef>
          </c:cat>
          <c:val>
            <c:numRef>
              <c:f>Historical_Cost!$J$80:$L$80</c:f>
              <c:numCache>
                <c:formatCode>_(* #,##0_);_(* \(#,##0\);_(* "-"??_);_(@_)</c:formatCode>
                <c:ptCount val="3"/>
                <c:pt idx="0">
                  <c:v>12881003.076923078</c:v>
                </c:pt>
                <c:pt idx="1">
                  <c:v>12881003.076923078</c:v>
                </c:pt>
                <c:pt idx="2">
                  <c:v>17174670.769230768</c:v>
                </c:pt>
              </c:numCache>
            </c:numRef>
          </c:val>
          <c:extLst>
            <c:ext xmlns:c16="http://schemas.microsoft.com/office/drawing/2014/chart" uri="{C3380CC4-5D6E-409C-BE32-E72D297353CC}">
              <c16:uniqueId val="{00000006-BBA7-4838-BA40-5B6F3CAA0C68}"/>
            </c:ext>
          </c:extLst>
        </c:ser>
        <c:dLbls>
          <c:showLegendKey val="0"/>
          <c:showVal val="0"/>
          <c:showCatName val="0"/>
          <c:showSerName val="0"/>
          <c:showPercent val="0"/>
          <c:showBubbleSize val="0"/>
        </c:dLbls>
        <c:gapWidth val="150"/>
        <c:overlap val="100"/>
        <c:axId val="137607664"/>
        <c:axId val="292447984"/>
      </c:barChart>
      <c:catAx>
        <c:axId val="13760766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NASA Mission Projection Scenario</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2447984"/>
        <c:crosses val="autoZero"/>
        <c:auto val="1"/>
        <c:lblAlgn val="ctr"/>
        <c:lblOffset val="100"/>
        <c:noMultiLvlLbl val="0"/>
      </c:catAx>
      <c:valAx>
        <c:axId val="29244798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Current USD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607664"/>
        <c:crosses val="autoZero"/>
        <c:crossBetween val="between"/>
      </c:valAx>
      <c:spPr>
        <a:noFill/>
        <a:ln>
          <a:noFill/>
        </a:ln>
        <a:effectLst/>
      </c:spPr>
    </c:plotArea>
    <c:legend>
      <c:legendPos val="b"/>
      <c:layout>
        <c:manualLayout>
          <c:xMode val="edge"/>
          <c:yMode val="edge"/>
          <c:x val="4.5118163382714668E-2"/>
          <c:y val="0.81712453353338443"/>
          <c:w val="0.91471673487464633"/>
          <c:h val="0.17138423522680296"/>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Cost for all ADD and FDDN</a:t>
            </a:r>
            <a:r>
              <a:rPr lang="en-US" baseline="0"/>
              <a:t> services 2023-2027</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Historical_Cost!$L$88</c:f>
              <c:strCache>
                <c:ptCount val="1"/>
                <c:pt idx="0">
                  <c:v>ADD Direct to Earth (DTE)</c:v>
                </c:pt>
              </c:strCache>
            </c:strRef>
          </c:tx>
          <c:spPr>
            <a:solidFill>
              <a:schemeClr val="accent1"/>
            </a:solidFill>
            <a:ln>
              <a:noFill/>
            </a:ln>
            <a:effectLst/>
          </c:spPr>
          <c:invertIfNegative val="0"/>
          <c:cat>
            <c:strRef>
              <c:f>Historical_Cost!$M$87:$O$87</c:f>
              <c:strCache>
                <c:ptCount val="3"/>
                <c:pt idx="0">
                  <c:v>Low</c:v>
                </c:pt>
                <c:pt idx="1">
                  <c:v>Baseline</c:v>
                </c:pt>
                <c:pt idx="2">
                  <c:v>High</c:v>
                </c:pt>
              </c:strCache>
            </c:strRef>
          </c:cat>
          <c:val>
            <c:numRef>
              <c:f>Historical_Cost!$M$88:$O$88</c:f>
              <c:numCache>
                <c:formatCode>_(* #,##0_);_(* \(#,##0\);_(* "-"??_);_(@_)</c:formatCode>
                <c:ptCount val="3"/>
                <c:pt idx="0">
                  <c:v>5391122</c:v>
                </c:pt>
                <c:pt idx="1">
                  <c:v>5881224</c:v>
                </c:pt>
                <c:pt idx="2">
                  <c:v>6371326</c:v>
                </c:pt>
              </c:numCache>
            </c:numRef>
          </c:val>
          <c:extLst>
            <c:ext xmlns:c16="http://schemas.microsoft.com/office/drawing/2014/chart" uri="{C3380CC4-5D6E-409C-BE32-E72D297353CC}">
              <c16:uniqueId val="{00000000-CC45-49A1-87C0-AF537101A8E7}"/>
            </c:ext>
          </c:extLst>
        </c:ser>
        <c:ser>
          <c:idx val="1"/>
          <c:order val="1"/>
          <c:tx>
            <c:strRef>
              <c:f>Historical_Cost!$L$89</c:f>
              <c:strCache>
                <c:ptCount val="1"/>
                <c:pt idx="0">
                  <c:v>ADD Space Relay (SR)</c:v>
                </c:pt>
              </c:strCache>
            </c:strRef>
          </c:tx>
          <c:spPr>
            <a:solidFill>
              <a:schemeClr val="accent2"/>
            </a:solidFill>
            <a:ln>
              <a:noFill/>
            </a:ln>
            <a:effectLst/>
          </c:spPr>
          <c:invertIfNegative val="0"/>
          <c:cat>
            <c:strRef>
              <c:f>Historical_Cost!$M$87:$O$87</c:f>
              <c:strCache>
                <c:ptCount val="3"/>
                <c:pt idx="0">
                  <c:v>Low</c:v>
                </c:pt>
                <c:pt idx="1">
                  <c:v>Baseline</c:v>
                </c:pt>
                <c:pt idx="2">
                  <c:v>High</c:v>
                </c:pt>
              </c:strCache>
            </c:strRef>
          </c:cat>
          <c:val>
            <c:numRef>
              <c:f>Historical_Cost!$M$89:$O$89</c:f>
              <c:numCache>
                <c:formatCode>_(* #,##0_);_(* \(#,##0\);_(* "-"??_);_(@_)</c:formatCode>
                <c:ptCount val="3"/>
                <c:pt idx="0">
                  <c:v>85873353.846153855</c:v>
                </c:pt>
                <c:pt idx="1">
                  <c:v>85873353.846153855</c:v>
                </c:pt>
                <c:pt idx="2">
                  <c:v>94460689.230769247</c:v>
                </c:pt>
              </c:numCache>
            </c:numRef>
          </c:val>
          <c:extLst>
            <c:ext xmlns:c16="http://schemas.microsoft.com/office/drawing/2014/chart" uri="{C3380CC4-5D6E-409C-BE32-E72D297353CC}">
              <c16:uniqueId val="{00000001-CC45-49A1-87C0-AF537101A8E7}"/>
            </c:ext>
          </c:extLst>
        </c:ser>
        <c:ser>
          <c:idx val="2"/>
          <c:order val="2"/>
          <c:tx>
            <c:strRef>
              <c:f>Historical_Cost!$L$90</c:f>
              <c:strCache>
                <c:ptCount val="1"/>
                <c:pt idx="0">
                  <c:v>ADD Launch Events (LE)</c:v>
                </c:pt>
              </c:strCache>
            </c:strRef>
          </c:tx>
          <c:spPr>
            <a:solidFill>
              <a:schemeClr val="accent3"/>
            </a:solidFill>
            <a:ln>
              <a:noFill/>
            </a:ln>
            <a:effectLst/>
          </c:spPr>
          <c:invertIfNegative val="0"/>
          <c:cat>
            <c:strRef>
              <c:f>Historical_Cost!$M$87:$O$87</c:f>
              <c:strCache>
                <c:ptCount val="3"/>
                <c:pt idx="0">
                  <c:v>Low</c:v>
                </c:pt>
                <c:pt idx="1">
                  <c:v>Baseline</c:v>
                </c:pt>
                <c:pt idx="2">
                  <c:v>High</c:v>
                </c:pt>
              </c:strCache>
            </c:strRef>
          </c:cat>
          <c:val>
            <c:numRef>
              <c:f>Historical_Cost!$M$90:$O$90</c:f>
              <c:numCache>
                <c:formatCode>_(* #,##0_);_(* \(#,##0\);_(* "-"??_);_(@_)</c:formatCode>
                <c:ptCount val="3"/>
                <c:pt idx="0">
                  <c:v>0</c:v>
                </c:pt>
                <c:pt idx="1">
                  <c:v>167453040</c:v>
                </c:pt>
                <c:pt idx="2">
                  <c:v>0</c:v>
                </c:pt>
              </c:numCache>
            </c:numRef>
          </c:val>
          <c:extLst>
            <c:ext xmlns:c16="http://schemas.microsoft.com/office/drawing/2014/chart" uri="{C3380CC4-5D6E-409C-BE32-E72D297353CC}">
              <c16:uniqueId val="{00000002-CC45-49A1-87C0-AF537101A8E7}"/>
            </c:ext>
          </c:extLst>
        </c:ser>
        <c:ser>
          <c:idx val="3"/>
          <c:order val="3"/>
          <c:tx>
            <c:strRef>
              <c:f>Historical_Cost!$L$91</c:f>
              <c:strCache>
                <c:ptCount val="1"/>
                <c:pt idx="0">
                  <c:v>FDDN Direct to Earth (DTE)</c:v>
                </c:pt>
              </c:strCache>
            </c:strRef>
          </c:tx>
          <c:spPr>
            <a:solidFill>
              <a:schemeClr val="accent4"/>
            </a:solidFill>
            <a:ln>
              <a:noFill/>
            </a:ln>
            <a:effectLst/>
          </c:spPr>
          <c:invertIfNegative val="0"/>
          <c:cat>
            <c:strRef>
              <c:f>Historical_Cost!$M$87:$O$87</c:f>
              <c:strCache>
                <c:ptCount val="3"/>
                <c:pt idx="0">
                  <c:v>Low</c:v>
                </c:pt>
                <c:pt idx="1">
                  <c:v>Baseline</c:v>
                </c:pt>
                <c:pt idx="2">
                  <c:v>High</c:v>
                </c:pt>
              </c:strCache>
            </c:strRef>
          </c:cat>
          <c:val>
            <c:numRef>
              <c:f>Historical_Cost!$M$91:$O$91</c:f>
              <c:numCache>
                <c:formatCode>_(* #,##0_);_(* \(#,##0\);_(* "-"??_);_(@_)</c:formatCode>
                <c:ptCount val="3"/>
                <c:pt idx="0">
                  <c:v>4901020</c:v>
                </c:pt>
                <c:pt idx="1">
                  <c:v>5391122</c:v>
                </c:pt>
                <c:pt idx="2">
                  <c:v>5881224</c:v>
                </c:pt>
              </c:numCache>
            </c:numRef>
          </c:val>
          <c:extLst>
            <c:ext xmlns:c16="http://schemas.microsoft.com/office/drawing/2014/chart" uri="{C3380CC4-5D6E-409C-BE32-E72D297353CC}">
              <c16:uniqueId val="{00000004-CC45-49A1-87C0-AF537101A8E7}"/>
            </c:ext>
          </c:extLst>
        </c:ser>
        <c:ser>
          <c:idx val="4"/>
          <c:order val="4"/>
          <c:tx>
            <c:strRef>
              <c:f>Historical_Cost!$L$92</c:f>
              <c:strCache>
                <c:ptCount val="1"/>
                <c:pt idx="0">
                  <c:v>FDDN Space Relay (SR)</c:v>
                </c:pt>
              </c:strCache>
            </c:strRef>
          </c:tx>
          <c:spPr>
            <a:solidFill>
              <a:schemeClr val="accent5"/>
            </a:solidFill>
            <a:ln>
              <a:noFill/>
            </a:ln>
            <a:effectLst/>
          </c:spPr>
          <c:invertIfNegative val="0"/>
          <c:cat>
            <c:strRef>
              <c:f>Historical_Cost!$M$87:$O$87</c:f>
              <c:strCache>
                <c:ptCount val="3"/>
                <c:pt idx="0">
                  <c:v>Low</c:v>
                </c:pt>
                <c:pt idx="1">
                  <c:v>Baseline</c:v>
                </c:pt>
                <c:pt idx="2">
                  <c:v>High</c:v>
                </c:pt>
              </c:strCache>
            </c:strRef>
          </c:cat>
          <c:val>
            <c:numRef>
              <c:f>Historical_Cost!$M$92:$O$92</c:f>
              <c:numCache>
                <c:formatCode>_(* #,##0_);_(* \(#,##0\);_(* "-"??_);_(@_)</c:formatCode>
                <c:ptCount val="3"/>
                <c:pt idx="0">
                  <c:v>51524012.307692312</c:v>
                </c:pt>
                <c:pt idx="1">
                  <c:v>60111347.692307703</c:v>
                </c:pt>
                <c:pt idx="2">
                  <c:v>68698683.076923087</c:v>
                </c:pt>
              </c:numCache>
            </c:numRef>
          </c:val>
          <c:extLst>
            <c:ext xmlns:c16="http://schemas.microsoft.com/office/drawing/2014/chart" uri="{C3380CC4-5D6E-409C-BE32-E72D297353CC}">
              <c16:uniqueId val="{00000005-CC45-49A1-87C0-AF537101A8E7}"/>
            </c:ext>
          </c:extLst>
        </c:ser>
        <c:dLbls>
          <c:showLegendKey val="0"/>
          <c:showVal val="0"/>
          <c:showCatName val="0"/>
          <c:showSerName val="0"/>
          <c:showPercent val="0"/>
          <c:showBubbleSize val="0"/>
        </c:dLbls>
        <c:gapWidth val="150"/>
        <c:overlap val="100"/>
        <c:axId val="138945104"/>
        <c:axId val="138946352"/>
      </c:barChart>
      <c:catAx>
        <c:axId val="13894510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NASA Mission Projection Scenario</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946352"/>
        <c:crosses val="autoZero"/>
        <c:auto val="1"/>
        <c:lblAlgn val="ctr"/>
        <c:lblOffset val="100"/>
        <c:noMultiLvlLbl val="0"/>
      </c:catAx>
      <c:valAx>
        <c:axId val="13894635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50" b="0" i="0" baseline="0">
                    <a:effectLst/>
                  </a:rPr>
                  <a:t>Current USD</a:t>
                </a:r>
                <a:endParaRPr lang="en-US" sz="5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945104"/>
        <c:crosses val="autoZero"/>
        <c:crossBetween val="between"/>
      </c:valAx>
      <c:spPr>
        <a:noFill/>
        <a:ln>
          <a:noFill/>
        </a:ln>
        <a:effectLst/>
      </c:spPr>
    </c:plotArea>
    <c:legend>
      <c:legendPos val="b"/>
      <c:layout>
        <c:manualLayout>
          <c:xMode val="edge"/>
          <c:yMode val="edge"/>
          <c:x val="0.18425294659006902"/>
          <c:y val="0.82291557305336838"/>
          <c:w val="0.76561822653079359"/>
          <c:h val="0.1493066491688538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a:t>Total Cost</a:t>
            </a:r>
            <a:r>
              <a:rPr lang="en-US" sz="1200" baseline="0"/>
              <a:t> for Commerically-Provided </a:t>
            </a:r>
            <a:r>
              <a:rPr lang="en-US" sz="1200" b="0" i="0" u="none" strike="noStrike" baseline="0">
                <a:effectLst/>
              </a:rPr>
              <a:t>Direct To Earth (DTE) </a:t>
            </a:r>
            <a:r>
              <a:rPr lang="en-US" sz="1200" baseline="0"/>
              <a:t>Assured Data Delivery (ADD) Services 2022</a:t>
            </a:r>
            <a:endParaRPr lang="en-US" sz="1200"/>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5067136050814248"/>
          <c:y val="0.20457169604725381"/>
          <c:w val="0.82165449393853007"/>
          <c:h val="0.44703985763921233"/>
        </c:manualLayout>
      </c:layout>
      <c:barChart>
        <c:barDir val="col"/>
        <c:grouping val="stacked"/>
        <c:varyColors val="0"/>
        <c:ser>
          <c:idx val="0"/>
          <c:order val="0"/>
          <c:tx>
            <c:strRef>
              <c:f>Current_Operational_Cost!$A$19</c:f>
              <c:strCache>
                <c:ptCount val="1"/>
                <c:pt idx="0">
                  <c:v>Human Space Flight</c:v>
                </c:pt>
              </c:strCache>
            </c:strRef>
          </c:tx>
          <c:spPr>
            <a:solidFill>
              <a:schemeClr val="accent1"/>
            </a:solidFill>
            <a:ln>
              <a:noFill/>
            </a:ln>
            <a:effectLst/>
          </c:spPr>
          <c:invertIfNegative val="0"/>
          <c:cat>
            <c:strRef>
              <c:f>Current_Operational_Cost!$J$18:$L$18</c:f>
              <c:strCache>
                <c:ptCount val="3"/>
                <c:pt idx="0">
                  <c:v>Low</c:v>
                </c:pt>
                <c:pt idx="1">
                  <c:v>Baseline</c:v>
                </c:pt>
                <c:pt idx="2">
                  <c:v>High</c:v>
                </c:pt>
              </c:strCache>
            </c:strRef>
          </c:cat>
          <c:val>
            <c:numRef>
              <c:f>Current_Operational_Cost!$J$19:$L$19</c:f>
              <c:numCache>
                <c:formatCode>_(* #,##0_);_(* \(#,##0\);_(* "-"??_);_(@_)</c:formatCode>
                <c:ptCount val="3"/>
                <c:pt idx="0">
                  <c:v>0</c:v>
                </c:pt>
                <c:pt idx="1">
                  <c:v>8378.4999999999982</c:v>
                </c:pt>
                <c:pt idx="2">
                  <c:v>0</c:v>
                </c:pt>
              </c:numCache>
            </c:numRef>
          </c:val>
          <c:extLst>
            <c:ext xmlns:c16="http://schemas.microsoft.com/office/drawing/2014/chart" uri="{C3380CC4-5D6E-409C-BE32-E72D297353CC}">
              <c16:uniqueId val="{00000000-0F6D-4788-83E5-201026A1D699}"/>
            </c:ext>
          </c:extLst>
        </c:ser>
        <c:ser>
          <c:idx val="1"/>
          <c:order val="1"/>
          <c:tx>
            <c:strRef>
              <c:f>Current_Operational_Cost!$A$20</c:f>
              <c:strCache>
                <c:ptCount val="1"/>
                <c:pt idx="0">
                  <c:v>Near Earth Robotic - LEO Science</c:v>
                </c:pt>
              </c:strCache>
            </c:strRef>
          </c:tx>
          <c:spPr>
            <a:solidFill>
              <a:schemeClr val="accent2"/>
            </a:solidFill>
            <a:ln>
              <a:noFill/>
            </a:ln>
            <a:effectLst/>
          </c:spPr>
          <c:invertIfNegative val="0"/>
          <c:cat>
            <c:strRef>
              <c:f>Current_Operational_Cost!$J$18:$L$18</c:f>
              <c:strCache>
                <c:ptCount val="3"/>
                <c:pt idx="0">
                  <c:v>Low</c:v>
                </c:pt>
                <c:pt idx="1">
                  <c:v>Baseline</c:v>
                </c:pt>
                <c:pt idx="2">
                  <c:v>High</c:v>
                </c:pt>
              </c:strCache>
            </c:strRef>
          </c:cat>
          <c:val>
            <c:numRef>
              <c:f>Current_Operational_Cost!$J$20:$L$20</c:f>
              <c:numCache>
                <c:formatCode>_(* #,##0_);_(* \(#,##0\);_(* "-"??_);_(@_)</c:formatCode>
                <c:ptCount val="3"/>
                <c:pt idx="0">
                  <c:v>0</c:v>
                </c:pt>
                <c:pt idx="1">
                  <c:v>4901802.25</c:v>
                </c:pt>
                <c:pt idx="2">
                  <c:v>0</c:v>
                </c:pt>
              </c:numCache>
            </c:numRef>
          </c:val>
          <c:extLst>
            <c:ext xmlns:c16="http://schemas.microsoft.com/office/drawing/2014/chart" uri="{C3380CC4-5D6E-409C-BE32-E72D297353CC}">
              <c16:uniqueId val="{00000001-0F6D-4788-83E5-201026A1D699}"/>
            </c:ext>
          </c:extLst>
        </c:ser>
        <c:ser>
          <c:idx val="2"/>
          <c:order val="2"/>
          <c:tx>
            <c:strRef>
              <c:f>Current_Operational_Cost!$A$21</c:f>
              <c:strCache>
                <c:ptCount val="1"/>
                <c:pt idx="0">
                  <c:v>Near Earth Robotic - GEO and Near Earth</c:v>
                </c:pt>
              </c:strCache>
            </c:strRef>
          </c:tx>
          <c:spPr>
            <a:solidFill>
              <a:schemeClr val="accent3"/>
            </a:solidFill>
            <a:ln>
              <a:noFill/>
            </a:ln>
            <a:effectLst/>
          </c:spPr>
          <c:invertIfNegative val="0"/>
          <c:cat>
            <c:strRef>
              <c:f>Current_Operational_Cost!$J$18:$L$18</c:f>
              <c:strCache>
                <c:ptCount val="3"/>
                <c:pt idx="0">
                  <c:v>Low</c:v>
                </c:pt>
                <c:pt idx="1">
                  <c:v>Baseline</c:v>
                </c:pt>
                <c:pt idx="2">
                  <c:v>High</c:v>
                </c:pt>
              </c:strCache>
            </c:strRef>
          </c:cat>
          <c:val>
            <c:numRef>
              <c:f>Current_Operational_Cost!$J$21:$L$21</c:f>
              <c:numCache>
                <c:formatCode>_(* #,##0_);_(* \(#,##0\);_(* "-"??_);_(@_)</c:formatCode>
                <c:ptCount val="3"/>
                <c:pt idx="0">
                  <c:v>0</c:v>
                </c:pt>
                <c:pt idx="1">
                  <c:v>1093568.7500000002</c:v>
                </c:pt>
                <c:pt idx="2">
                  <c:v>0</c:v>
                </c:pt>
              </c:numCache>
            </c:numRef>
          </c:val>
          <c:extLst>
            <c:ext xmlns:c16="http://schemas.microsoft.com/office/drawing/2014/chart" uri="{C3380CC4-5D6E-409C-BE32-E72D297353CC}">
              <c16:uniqueId val="{00000002-0F6D-4788-83E5-201026A1D699}"/>
            </c:ext>
          </c:extLst>
        </c:ser>
        <c:ser>
          <c:idx val="3"/>
          <c:order val="3"/>
          <c:tx>
            <c:strRef>
              <c:f>Current_Operational_Cost!$A$22</c:f>
              <c:strCache>
                <c:ptCount val="1"/>
                <c:pt idx="0">
                  <c:v>Deep Space Robotic</c:v>
                </c:pt>
              </c:strCache>
            </c:strRef>
          </c:tx>
          <c:spPr>
            <a:solidFill>
              <a:schemeClr val="accent4"/>
            </a:solidFill>
            <a:ln>
              <a:noFill/>
            </a:ln>
            <a:effectLst/>
          </c:spPr>
          <c:invertIfNegative val="0"/>
          <c:cat>
            <c:strRef>
              <c:f>Current_Operational_Cost!$J$18:$L$18</c:f>
              <c:strCache>
                <c:ptCount val="3"/>
                <c:pt idx="0">
                  <c:v>Low</c:v>
                </c:pt>
                <c:pt idx="1">
                  <c:v>Baseline</c:v>
                </c:pt>
                <c:pt idx="2">
                  <c:v>High</c:v>
                </c:pt>
              </c:strCache>
            </c:strRef>
          </c:cat>
          <c:val>
            <c:numRef>
              <c:f>Current_Operational_Cost!$J$22:$L$22</c:f>
              <c:numCache>
                <c:formatCode>_(* #,##0_);_(* \(#,##0\);_(* "-"??_);_(@_)</c:formatCode>
                <c:ptCount val="3"/>
                <c:pt idx="0">
                  <c:v>0</c:v>
                </c:pt>
                <c:pt idx="1">
                  <c:v>0</c:v>
                </c:pt>
                <c:pt idx="2">
                  <c:v>0</c:v>
                </c:pt>
              </c:numCache>
            </c:numRef>
          </c:val>
          <c:extLst>
            <c:ext xmlns:c16="http://schemas.microsoft.com/office/drawing/2014/chart" uri="{C3380CC4-5D6E-409C-BE32-E72D297353CC}">
              <c16:uniqueId val="{00000003-0F6D-4788-83E5-201026A1D699}"/>
            </c:ext>
          </c:extLst>
        </c:ser>
        <c:ser>
          <c:idx val="4"/>
          <c:order val="4"/>
          <c:tx>
            <c:strRef>
              <c:f>Current_Operational_Cost!$A$23</c:f>
              <c:strCache>
                <c:ptCount val="1"/>
                <c:pt idx="0">
                  <c:v>Near Earth Robotic - Low Latency &amp; Complex Needs</c:v>
                </c:pt>
              </c:strCache>
            </c:strRef>
          </c:tx>
          <c:spPr>
            <a:solidFill>
              <a:schemeClr val="accent5"/>
            </a:solidFill>
            <a:ln>
              <a:noFill/>
            </a:ln>
            <a:effectLst/>
          </c:spPr>
          <c:invertIfNegative val="0"/>
          <c:cat>
            <c:strRef>
              <c:f>Current_Operational_Cost!$J$18:$L$18</c:f>
              <c:strCache>
                <c:ptCount val="3"/>
                <c:pt idx="0">
                  <c:v>Low</c:v>
                </c:pt>
                <c:pt idx="1">
                  <c:v>Baseline</c:v>
                </c:pt>
                <c:pt idx="2">
                  <c:v>High</c:v>
                </c:pt>
              </c:strCache>
            </c:strRef>
          </c:cat>
          <c:val>
            <c:numRef>
              <c:f>Current_Operational_Cost!$J$23:$L$23</c:f>
              <c:numCache>
                <c:formatCode>_(* #,##0_);_(* \(#,##0\);_(* "-"??_);_(@_)</c:formatCode>
                <c:ptCount val="3"/>
                <c:pt idx="0">
                  <c:v>0</c:v>
                </c:pt>
                <c:pt idx="1">
                  <c:v>0</c:v>
                </c:pt>
                <c:pt idx="2">
                  <c:v>0</c:v>
                </c:pt>
              </c:numCache>
            </c:numRef>
          </c:val>
          <c:extLst>
            <c:ext xmlns:c16="http://schemas.microsoft.com/office/drawing/2014/chart" uri="{C3380CC4-5D6E-409C-BE32-E72D297353CC}">
              <c16:uniqueId val="{00000004-0F6D-4788-83E5-201026A1D699}"/>
            </c:ext>
          </c:extLst>
        </c:ser>
        <c:ser>
          <c:idx val="5"/>
          <c:order val="5"/>
          <c:tx>
            <c:strRef>
              <c:f>Current_Operational_Cost!$A$24</c:f>
              <c:strCache>
                <c:ptCount val="1"/>
                <c:pt idx="0">
                  <c:v>Mission Operations</c:v>
                </c:pt>
              </c:strCache>
            </c:strRef>
          </c:tx>
          <c:spPr>
            <a:solidFill>
              <a:schemeClr val="accent6"/>
            </a:solidFill>
            <a:ln>
              <a:noFill/>
            </a:ln>
            <a:effectLst/>
          </c:spPr>
          <c:invertIfNegative val="0"/>
          <c:cat>
            <c:strRef>
              <c:f>Current_Operational_Cost!$J$18:$L$18</c:f>
              <c:strCache>
                <c:ptCount val="3"/>
                <c:pt idx="0">
                  <c:v>Low</c:v>
                </c:pt>
                <c:pt idx="1">
                  <c:v>Baseline</c:v>
                </c:pt>
                <c:pt idx="2">
                  <c:v>High</c:v>
                </c:pt>
              </c:strCache>
            </c:strRef>
          </c:cat>
          <c:val>
            <c:numRef>
              <c:f>Current_Operational_Cost!$J$24:$L$24</c:f>
              <c:numCache>
                <c:formatCode>_(* #,##0_);_(* \(#,##0\);_(* "-"??_);_(@_)</c:formatCode>
                <c:ptCount val="3"/>
                <c:pt idx="0">
                  <c:v>0</c:v>
                </c:pt>
                <c:pt idx="1">
                  <c:v>0</c:v>
                </c:pt>
                <c:pt idx="2">
                  <c:v>0</c:v>
                </c:pt>
              </c:numCache>
            </c:numRef>
          </c:val>
          <c:extLst>
            <c:ext xmlns:c16="http://schemas.microsoft.com/office/drawing/2014/chart" uri="{C3380CC4-5D6E-409C-BE32-E72D297353CC}">
              <c16:uniqueId val="{00000005-0F6D-4788-83E5-201026A1D699}"/>
            </c:ext>
          </c:extLst>
        </c:ser>
        <c:ser>
          <c:idx val="6"/>
          <c:order val="6"/>
          <c:tx>
            <c:strRef>
              <c:f>Current_Operational_Cost!$A$25</c:f>
              <c:strCache>
                <c:ptCount val="1"/>
                <c:pt idx="0">
                  <c:v>Terrestrial &amp; Aerial</c:v>
                </c:pt>
              </c:strCache>
            </c:strRef>
          </c:tx>
          <c:spPr>
            <a:solidFill>
              <a:schemeClr val="accent1">
                <a:lumMod val="60000"/>
              </a:schemeClr>
            </a:solidFill>
            <a:ln>
              <a:noFill/>
            </a:ln>
            <a:effectLst/>
          </c:spPr>
          <c:invertIfNegative val="0"/>
          <c:cat>
            <c:strRef>
              <c:f>Current_Operational_Cost!$J$18:$L$18</c:f>
              <c:strCache>
                <c:ptCount val="3"/>
                <c:pt idx="0">
                  <c:v>Low</c:v>
                </c:pt>
                <c:pt idx="1">
                  <c:v>Baseline</c:v>
                </c:pt>
                <c:pt idx="2">
                  <c:v>High</c:v>
                </c:pt>
              </c:strCache>
            </c:strRef>
          </c:cat>
          <c:val>
            <c:numRef>
              <c:f>Current_Operational_Cost!$J$25:$L$25</c:f>
              <c:numCache>
                <c:formatCode>_(* #,##0_);_(* \(#,##0\);_(* "-"??_);_(@_)</c:formatCode>
                <c:ptCount val="3"/>
                <c:pt idx="0">
                  <c:v>0</c:v>
                </c:pt>
                <c:pt idx="1">
                  <c:v>0</c:v>
                </c:pt>
                <c:pt idx="2">
                  <c:v>0</c:v>
                </c:pt>
              </c:numCache>
            </c:numRef>
          </c:val>
          <c:extLst>
            <c:ext xmlns:c16="http://schemas.microsoft.com/office/drawing/2014/chart" uri="{C3380CC4-5D6E-409C-BE32-E72D297353CC}">
              <c16:uniqueId val="{00000006-0F6D-4788-83E5-201026A1D699}"/>
            </c:ext>
          </c:extLst>
        </c:ser>
        <c:dLbls>
          <c:showLegendKey val="0"/>
          <c:showVal val="0"/>
          <c:showCatName val="0"/>
          <c:showSerName val="0"/>
          <c:showPercent val="0"/>
          <c:showBubbleSize val="0"/>
        </c:dLbls>
        <c:gapWidth val="150"/>
        <c:overlap val="100"/>
        <c:axId val="137607664"/>
        <c:axId val="292447984"/>
      </c:barChart>
      <c:catAx>
        <c:axId val="13760766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NASA Mission Projection Scenario</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2447984"/>
        <c:crosses val="autoZero"/>
        <c:auto val="1"/>
        <c:lblAlgn val="ctr"/>
        <c:lblOffset val="100"/>
        <c:noMultiLvlLbl val="0"/>
      </c:catAx>
      <c:valAx>
        <c:axId val="29244798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Current USD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607664"/>
        <c:crosses val="autoZero"/>
        <c:crossBetween val="between"/>
      </c:valAx>
      <c:spPr>
        <a:noFill/>
        <a:ln>
          <a:noFill/>
        </a:ln>
        <a:effectLst/>
      </c:spPr>
    </c:plotArea>
    <c:legend>
      <c:legendPos val="b"/>
      <c:layout>
        <c:manualLayout>
          <c:xMode val="edge"/>
          <c:yMode val="edge"/>
          <c:x val="4.5118163382714668E-2"/>
          <c:y val="0.81712453353338443"/>
          <c:w val="0.91471673487464633"/>
          <c:h val="0.17138423522680296"/>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b="0" i="0" baseline="0">
                <a:effectLst/>
              </a:rPr>
              <a:t>Total Cost for Commerically-Provided Space Relay (SR) Assured Data Delivery (ADD) Services for 2022</a:t>
            </a:r>
            <a:endParaRPr lang="en-US" sz="1000">
              <a:effectLst/>
            </a:endParaRPr>
          </a:p>
        </c:rich>
      </c:tx>
      <c:layout>
        <c:manualLayout>
          <c:xMode val="edge"/>
          <c:yMode val="edge"/>
          <c:x val="0.11963888040226967"/>
          <c:y val="1.6483471912390996E-2"/>
        </c:manualLayout>
      </c:layout>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5067136050814248"/>
          <c:y val="0.20457169604725381"/>
          <c:w val="0.82165449393853007"/>
          <c:h val="0.44703985763921233"/>
        </c:manualLayout>
      </c:layout>
      <c:barChart>
        <c:barDir val="col"/>
        <c:grouping val="stacked"/>
        <c:varyColors val="0"/>
        <c:ser>
          <c:idx val="0"/>
          <c:order val="0"/>
          <c:tx>
            <c:strRef>
              <c:f>Current_Operational_Cost!$A$31</c:f>
              <c:strCache>
                <c:ptCount val="1"/>
                <c:pt idx="0">
                  <c:v>Human Space Flight</c:v>
                </c:pt>
              </c:strCache>
            </c:strRef>
          </c:tx>
          <c:spPr>
            <a:solidFill>
              <a:schemeClr val="accent1"/>
            </a:solidFill>
            <a:ln>
              <a:noFill/>
            </a:ln>
            <a:effectLst/>
          </c:spPr>
          <c:invertIfNegative val="0"/>
          <c:cat>
            <c:strRef>
              <c:f>Current_Operational_Cost!$J$18:$L$18</c:f>
              <c:strCache>
                <c:ptCount val="3"/>
                <c:pt idx="0">
                  <c:v>Low</c:v>
                </c:pt>
                <c:pt idx="1">
                  <c:v>Baseline</c:v>
                </c:pt>
                <c:pt idx="2">
                  <c:v>High</c:v>
                </c:pt>
              </c:strCache>
            </c:strRef>
          </c:cat>
          <c:val>
            <c:numRef>
              <c:f>Current_Operational_Cost!$J$31:$L$31</c:f>
              <c:numCache>
                <c:formatCode>_(* #,##0_);_(* \(#,##0\);_(* "-"??_);_(@_)</c:formatCode>
                <c:ptCount val="3"/>
                <c:pt idx="0">
                  <c:v>0</c:v>
                </c:pt>
                <c:pt idx="1">
                  <c:v>50263260</c:v>
                </c:pt>
                <c:pt idx="2">
                  <c:v>0</c:v>
                </c:pt>
              </c:numCache>
            </c:numRef>
          </c:val>
          <c:extLst>
            <c:ext xmlns:c16="http://schemas.microsoft.com/office/drawing/2014/chart" uri="{C3380CC4-5D6E-409C-BE32-E72D297353CC}">
              <c16:uniqueId val="{00000000-C109-47A2-BCB7-9281364F09BD}"/>
            </c:ext>
          </c:extLst>
        </c:ser>
        <c:ser>
          <c:idx val="1"/>
          <c:order val="1"/>
          <c:tx>
            <c:strRef>
              <c:f>Current_Operational_Cost!$A$32</c:f>
              <c:strCache>
                <c:ptCount val="1"/>
                <c:pt idx="0">
                  <c:v>Near Earth Robotic - LEO Science</c:v>
                </c:pt>
              </c:strCache>
            </c:strRef>
          </c:tx>
          <c:spPr>
            <a:solidFill>
              <a:schemeClr val="accent2"/>
            </a:solidFill>
            <a:ln>
              <a:noFill/>
            </a:ln>
            <a:effectLst/>
          </c:spPr>
          <c:invertIfNegative val="0"/>
          <c:cat>
            <c:strRef>
              <c:f>Current_Operational_Cost!$J$18:$L$18</c:f>
              <c:strCache>
                <c:ptCount val="3"/>
                <c:pt idx="0">
                  <c:v>Low</c:v>
                </c:pt>
                <c:pt idx="1">
                  <c:v>Baseline</c:v>
                </c:pt>
                <c:pt idx="2">
                  <c:v>High</c:v>
                </c:pt>
              </c:strCache>
            </c:strRef>
          </c:cat>
          <c:val>
            <c:numRef>
              <c:f>Current_Operational_Cost!$J$32:$L$32</c:f>
              <c:numCache>
                <c:formatCode>_(* #,##0_);_(* \(#,##0\);_(* "-"??_);_(@_)</c:formatCode>
                <c:ptCount val="3"/>
                <c:pt idx="0">
                  <c:v>0</c:v>
                </c:pt>
                <c:pt idx="1">
                  <c:v>87581220</c:v>
                </c:pt>
                <c:pt idx="2">
                  <c:v>0</c:v>
                </c:pt>
              </c:numCache>
            </c:numRef>
          </c:val>
          <c:extLst>
            <c:ext xmlns:c16="http://schemas.microsoft.com/office/drawing/2014/chart" uri="{C3380CC4-5D6E-409C-BE32-E72D297353CC}">
              <c16:uniqueId val="{00000001-C109-47A2-BCB7-9281364F09BD}"/>
            </c:ext>
          </c:extLst>
        </c:ser>
        <c:ser>
          <c:idx val="2"/>
          <c:order val="2"/>
          <c:tx>
            <c:strRef>
              <c:f>Current_Operational_Cost!$A$33</c:f>
              <c:strCache>
                <c:ptCount val="1"/>
                <c:pt idx="0">
                  <c:v>Near Earth Robotic - GEO and Near Earth</c:v>
                </c:pt>
              </c:strCache>
            </c:strRef>
          </c:tx>
          <c:spPr>
            <a:solidFill>
              <a:schemeClr val="accent3"/>
            </a:solidFill>
            <a:ln>
              <a:noFill/>
            </a:ln>
            <a:effectLst/>
          </c:spPr>
          <c:invertIfNegative val="0"/>
          <c:cat>
            <c:strRef>
              <c:f>Current_Operational_Cost!$J$18:$L$18</c:f>
              <c:strCache>
                <c:ptCount val="3"/>
                <c:pt idx="0">
                  <c:v>Low</c:v>
                </c:pt>
                <c:pt idx="1">
                  <c:v>Baseline</c:v>
                </c:pt>
                <c:pt idx="2">
                  <c:v>High</c:v>
                </c:pt>
              </c:strCache>
            </c:strRef>
          </c:cat>
          <c:val>
            <c:numRef>
              <c:f>Current_Operational_Cost!$J$33:$L$33</c:f>
              <c:numCache>
                <c:formatCode>_(* #,##0_);_(* \(#,##0\);_(* "-"??_);_(@_)</c:formatCode>
                <c:ptCount val="3"/>
                <c:pt idx="0">
                  <c:v>0</c:v>
                </c:pt>
                <c:pt idx="1">
                  <c:v>8740</c:v>
                </c:pt>
                <c:pt idx="2">
                  <c:v>0</c:v>
                </c:pt>
              </c:numCache>
            </c:numRef>
          </c:val>
          <c:extLst>
            <c:ext xmlns:c16="http://schemas.microsoft.com/office/drawing/2014/chart" uri="{C3380CC4-5D6E-409C-BE32-E72D297353CC}">
              <c16:uniqueId val="{00000002-C109-47A2-BCB7-9281364F09BD}"/>
            </c:ext>
          </c:extLst>
        </c:ser>
        <c:ser>
          <c:idx val="3"/>
          <c:order val="3"/>
          <c:tx>
            <c:strRef>
              <c:f>Current_Operational_Cost!$A$34</c:f>
              <c:strCache>
                <c:ptCount val="1"/>
                <c:pt idx="0">
                  <c:v>Deep Space Robotic</c:v>
                </c:pt>
              </c:strCache>
            </c:strRef>
          </c:tx>
          <c:spPr>
            <a:solidFill>
              <a:schemeClr val="accent4"/>
            </a:solidFill>
            <a:ln>
              <a:noFill/>
            </a:ln>
            <a:effectLst/>
          </c:spPr>
          <c:invertIfNegative val="0"/>
          <c:cat>
            <c:strRef>
              <c:f>Current_Operational_Cost!$J$18:$L$18</c:f>
              <c:strCache>
                <c:ptCount val="3"/>
                <c:pt idx="0">
                  <c:v>Low</c:v>
                </c:pt>
                <c:pt idx="1">
                  <c:v>Baseline</c:v>
                </c:pt>
                <c:pt idx="2">
                  <c:v>High</c:v>
                </c:pt>
              </c:strCache>
            </c:strRef>
          </c:cat>
          <c:val>
            <c:numRef>
              <c:f>Current_Operational_Cost!$J$34:$L$34</c:f>
              <c:numCache>
                <c:formatCode>_(* #,##0_);_(* \(#,##0\);_(* "-"??_);_(@_)</c:formatCode>
                <c:ptCount val="3"/>
                <c:pt idx="0">
                  <c:v>0</c:v>
                </c:pt>
                <c:pt idx="1">
                  <c:v>11440</c:v>
                </c:pt>
                <c:pt idx="2">
                  <c:v>0</c:v>
                </c:pt>
              </c:numCache>
            </c:numRef>
          </c:val>
          <c:extLst>
            <c:ext xmlns:c16="http://schemas.microsoft.com/office/drawing/2014/chart" uri="{C3380CC4-5D6E-409C-BE32-E72D297353CC}">
              <c16:uniqueId val="{00000003-C109-47A2-BCB7-9281364F09BD}"/>
            </c:ext>
          </c:extLst>
        </c:ser>
        <c:ser>
          <c:idx val="4"/>
          <c:order val="4"/>
          <c:tx>
            <c:strRef>
              <c:f>Current_Operational_Cost!$A$35</c:f>
              <c:strCache>
                <c:ptCount val="1"/>
                <c:pt idx="0">
                  <c:v>Near Earth Robotic - Low Latency &amp; Complex Needs</c:v>
                </c:pt>
              </c:strCache>
            </c:strRef>
          </c:tx>
          <c:spPr>
            <a:solidFill>
              <a:schemeClr val="accent5"/>
            </a:solidFill>
            <a:ln>
              <a:noFill/>
            </a:ln>
            <a:effectLst/>
          </c:spPr>
          <c:invertIfNegative val="0"/>
          <c:cat>
            <c:strRef>
              <c:f>Current_Operational_Cost!$J$18:$L$18</c:f>
              <c:strCache>
                <c:ptCount val="3"/>
                <c:pt idx="0">
                  <c:v>Low</c:v>
                </c:pt>
                <c:pt idx="1">
                  <c:v>Baseline</c:v>
                </c:pt>
                <c:pt idx="2">
                  <c:v>High</c:v>
                </c:pt>
              </c:strCache>
            </c:strRef>
          </c:cat>
          <c:val>
            <c:numRef>
              <c:f>Current_Operational_Cost!$J$35:$L$35</c:f>
              <c:numCache>
                <c:formatCode>_(* #,##0_);_(* \(#,##0\);_(* "-"??_);_(@_)</c:formatCode>
                <c:ptCount val="3"/>
                <c:pt idx="0">
                  <c:v>0</c:v>
                </c:pt>
                <c:pt idx="1">
                  <c:v>163760</c:v>
                </c:pt>
                <c:pt idx="2">
                  <c:v>0</c:v>
                </c:pt>
              </c:numCache>
            </c:numRef>
          </c:val>
          <c:extLst>
            <c:ext xmlns:c16="http://schemas.microsoft.com/office/drawing/2014/chart" uri="{C3380CC4-5D6E-409C-BE32-E72D297353CC}">
              <c16:uniqueId val="{00000004-C109-47A2-BCB7-9281364F09BD}"/>
            </c:ext>
          </c:extLst>
        </c:ser>
        <c:ser>
          <c:idx val="5"/>
          <c:order val="5"/>
          <c:tx>
            <c:strRef>
              <c:f>Current_Operational_Cost!$A$36</c:f>
              <c:strCache>
                <c:ptCount val="1"/>
                <c:pt idx="0">
                  <c:v>Mission Operations</c:v>
                </c:pt>
              </c:strCache>
            </c:strRef>
          </c:tx>
          <c:spPr>
            <a:solidFill>
              <a:schemeClr val="accent6"/>
            </a:solidFill>
            <a:ln>
              <a:noFill/>
            </a:ln>
            <a:effectLst/>
          </c:spPr>
          <c:invertIfNegative val="0"/>
          <c:cat>
            <c:strRef>
              <c:f>Current_Operational_Cost!$J$18:$L$18</c:f>
              <c:strCache>
                <c:ptCount val="3"/>
                <c:pt idx="0">
                  <c:v>Low</c:v>
                </c:pt>
                <c:pt idx="1">
                  <c:v>Baseline</c:v>
                </c:pt>
                <c:pt idx="2">
                  <c:v>High</c:v>
                </c:pt>
              </c:strCache>
            </c:strRef>
          </c:cat>
          <c:val>
            <c:numRef>
              <c:f>Current_Operational_Cost!$J$36:$L$36</c:f>
              <c:numCache>
                <c:formatCode>_(* #,##0_);_(* \(#,##0\);_(* "-"??_);_(@_)</c:formatCode>
                <c:ptCount val="3"/>
                <c:pt idx="0">
                  <c:v>0</c:v>
                </c:pt>
                <c:pt idx="1">
                  <c:v>0</c:v>
                </c:pt>
                <c:pt idx="2">
                  <c:v>0</c:v>
                </c:pt>
              </c:numCache>
            </c:numRef>
          </c:val>
          <c:extLst>
            <c:ext xmlns:c16="http://schemas.microsoft.com/office/drawing/2014/chart" uri="{C3380CC4-5D6E-409C-BE32-E72D297353CC}">
              <c16:uniqueId val="{00000005-C109-47A2-BCB7-9281364F09BD}"/>
            </c:ext>
          </c:extLst>
        </c:ser>
        <c:ser>
          <c:idx val="6"/>
          <c:order val="6"/>
          <c:tx>
            <c:strRef>
              <c:f>Current_Operational_Cost!$A$37</c:f>
              <c:strCache>
                <c:ptCount val="1"/>
                <c:pt idx="0">
                  <c:v>Terrestrial &amp; Aerial</c:v>
                </c:pt>
              </c:strCache>
            </c:strRef>
          </c:tx>
          <c:spPr>
            <a:solidFill>
              <a:schemeClr val="accent1">
                <a:lumMod val="60000"/>
              </a:schemeClr>
            </a:solidFill>
            <a:ln>
              <a:noFill/>
            </a:ln>
            <a:effectLst/>
          </c:spPr>
          <c:invertIfNegative val="0"/>
          <c:cat>
            <c:strRef>
              <c:f>Current_Operational_Cost!$J$18:$L$18</c:f>
              <c:strCache>
                <c:ptCount val="3"/>
                <c:pt idx="0">
                  <c:v>Low</c:v>
                </c:pt>
                <c:pt idx="1">
                  <c:v>Baseline</c:v>
                </c:pt>
                <c:pt idx="2">
                  <c:v>High</c:v>
                </c:pt>
              </c:strCache>
            </c:strRef>
          </c:cat>
          <c:val>
            <c:numRef>
              <c:f>Current_Operational_Cost!$J$37:$L$37</c:f>
              <c:numCache>
                <c:formatCode>_(* #,##0_);_(* \(#,##0\);_(* "-"??_);_(@_)</c:formatCode>
                <c:ptCount val="3"/>
                <c:pt idx="0">
                  <c:v>0</c:v>
                </c:pt>
                <c:pt idx="1">
                  <c:v>1448900</c:v>
                </c:pt>
                <c:pt idx="2">
                  <c:v>0</c:v>
                </c:pt>
              </c:numCache>
            </c:numRef>
          </c:val>
          <c:extLst>
            <c:ext xmlns:c16="http://schemas.microsoft.com/office/drawing/2014/chart" uri="{C3380CC4-5D6E-409C-BE32-E72D297353CC}">
              <c16:uniqueId val="{00000006-C109-47A2-BCB7-9281364F09BD}"/>
            </c:ext>
          </c:extLst>
        </c:ser>
        <c:dLbls>
          <c:showLegendKey val="0"/>
          <c:showVal val="0"/>
          <c:showCatName val="0"/>
          <c:showSerName val="0"/>
          <c:showPercent val="0"/>
          <c:showBubbleSize val="0"/>
        </c:dLbls>
        <c:gapWidth val="150"/>
        <c:overlap val="100"/>
        <c:axId val="137607664"/>
        <c:axId val="292447984"/>
      </c:barChart>
      <c:catAx>
        <c:axId val="13760766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NASA Mission Projection Scenario</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2447984"/>
        <c:crosses val="autoZero"/>
        <c:auto val="1"/>
        <c:lblAlgn val="ctr"/>
        <c:lblOffset val="100"/>
        <c:noMultiLvlLbl val="0"/>
      </c:catAx>
      <c:valAx>
        <c:axId val="29244798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Current USD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607664"/>
        <c:crosses val="autoZero"/>
        <c:crossBetween val="between"/>
      </c:valAx>
      <c:spPr>
        <a:noFill/>
        <a:ln>
          <a:noFill/>
        </a:ln>
        <a:effectLst/>
      </c:spPr>
    </c:plotArea>
    <c:legend>
      <c:legendPos val="b"/>
      <c:layout>
        <c:manualLayout>
          <c:xMode val="edge"/>
          <c:yMode val="edge"/>
          <c:x val="4.5118163382714668E-2"/>
          <c:y val="0.81712453353338443"/>
          <c:w val="0.91471673487464633"/>
          <c:h val="0.17138423522680296"/>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a:t>Total Cost</a:t>
            </a:r>
            <a:r>
              <a:rPr lang="en-US" sz="1200" baseline="0"/>
              <a:t> for Commercially-Provided </a:t>
            </a:r>
            <a:r>
              <a:rPr lang="en-US" sz="1200" b="0" i="0" u="none" strike="noStrike" baseline="0">
                <a:effectLst/>
              </a:rPr>
              <a:t>Direct To Earth (DTE) </a:t>
            </a:r>
            <a:r>
              <a:rPr lang="en-US" sz="1200" baseline="0"/>
              <a:t>File Data Delivery and Networking (FDDN) Services for 2022</a:t>
            </a:r>
            <a:endParaRPr lang="en-US" sz="1200"/>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5067136050814248"/>
          <c:y val="0.20457169604725381"/>
          <c:w val="0.82165449393853007"/>
          <c:h val="0.44703985763921233"/>
        </c:manualLayout>
      </c:layout>
      <c:barChart>
        <c:barDir val="col"/>
        <c:grouping val="stacked"/>
        <c:varyColors val="0"/>
        <c:ser>
          <c:idx val="0"/>
          <c:order val="0"/>
          <c:tx>
            <c:strRef>
              <c:f>Current_Operational_Cost!$A$62</c:f>
              <c:strCache>
                <c:ptCount val="1"/>
                <c:pt idx="0">
                  <c:v>Human Space Flight</c:v>
                </c:pt>
              </c:strCache>
            </c:strRef>
          </c:tx>
          <c:spPr>
            <a:solidFill>
              <a:schemeClr val="accent1"/>
            </a:solidFill>
            <a:ln>
              <a:noFill/>
            </a:ln>
            <a:effectLst/>
          </c:spPr>
          <c:invertIfNegative val="0"/>
          <c:cat>
            <c:strRef>
              <c:f>Current_Operational_Cost!$J$18:$L$18</c:f>
              <c:strCache>
                <c:ptCount val="3"/>
                <c:pt idx="0">
                  <c:v>Low</c:v>
                </c:pt>
                <c:pt idx="1">
                  <c:v>Baseline</c:v>
                </c:pt>
                <c:pt idx="2">
                  <c:v>High</c:v>
                </c:pt>
              </c:strCache>
            </c:strRef>
          </c:cat>
          <c:val>
            <c:numRef>
              <c:f>Current_Operational_Cost!$J$62:$L$62</c:f>
              <c:numCache>
                <c:formatCode>_(* #,##0_);_(* \(#,##0\);_(* "-"??_);_(@_)</c:formatCode>
                <c:ptCount val="3"/>
                <c:pt idx="0">
                  <c:v>0</c:v>
                </c:pt>
                <c:pt idx="1">
                  <c:v>8378.4999999999982</c:v>
                </c:pt>
                <c:pt idx="2">
                  <c:v>0</c:v>
                </c:pt>
              </c:numCache>
            </c:numRef>
          </c:val>
          <c:extLst>
            <c:ext xmlns:c16="http://schemas.microsoft.com/office/drawing/2014/chart" uri="{C3380CC4-5D6E-409C-BE32-E72D297353CC}">
              <c16:uniqueId val="{00000000-9EDE-483E-9C75-6D3EFA297535}"/>
            </c:ext>
          </c:extLst>
        </c:ser>
        <c:ser>
          <c:idx val="1"/>
          <c:order val="1"/>
          <c:tx>
            <c:strRef>
              <c:f>Current_Operational_Cost!$A$63</c:f>
              <c:strCache>
                <c:ptCount val="1"/>
                <c:pt idx="0">
                  <c:v>Near Earth Robotic - LEO Science</c:v>
                </c:pt>
              </c:strCache>
            </c:strRef>
          </c:tx>
          <c:spPr>
            <a:solidFill>
              <a:schemeClr val="accent2"/>
            </a:solidFill>
            <a:ln>
              <a:noFill/>
            </a:ln>
            <a:effectLst/>
          </c:spPr>
          <c:invertIfNegative val="0"/>
          <c:cat>
            <c:strRef>
              <c:f>Current_Operational_Cost!$J$18:$L$18</c:f>
              <c:strCache>
                <c:ptCount val="3"/>
                <c:pt idx="0">
                  <c:v>Low</c:v>
                </c:pt>
                <c:pt idx="1">
                  <c:v>Baseline</c:v>
                </c:pt>
                <c:pt idx="2">
                  <c:v>High</c:v>
                </c:pt>
              </c:strCache>
            </c:strRef>
          </c:cat>
          <c:val>
            <c:numRef>
              <c:f>Current_Operational_Cost!$J$63:$L$63</c:f>
              <c:numCache>
                <c:formatCode>_(* #,##0_);_(* \(#,##0\);_(* "-"??_);_(@_)</c:formatCode>
                <c:ptCount val="3"/>
                <c:pt idx="0">
                  <c:v>0</c:v>
                </c:pt>
                <c:pt idx="1">
                  <c:v>4901802.25</c:v>
                </c:pt>
                <c:pt idx="2">
                  <c:v>0</c:v>
                </c:pt>
              </c:numCache>
            </c:numRef>
          </c:val>
          <c:extLst>
            <c:ext xmlns:c16="http://schemas.microsoft.com/office/drawing/2014/chart" uri="{C3380CC4-5D6E-409C-BE32-E72D297353CC}">
              <c16:uniqueId val="{00000001-9EDE-483E-9C75-6D3EFA297535}"/>
            </c:ext>
          </c:extLst>
        </c:ser>
        <c:ser>
          <c:idx val="2"/>
          <c:order val="2"/>
          <c:tx>
            <c:strRef>
              <c:f>Current_Operational_Cost!$A$64</c:f>
              <c:strCache>
                <c:ptCount val="1"/>
                <c:pt idx="0">
                  <c:v>Near Earth Robotic - GEO and Near Earth</c:v>
                </c:pt>
              </c:strCache>
            </c:strRef>
          </c:tx>
          <c:spPr>
            <a:solidFill>
              <a:schemeClr val="accent3"/>
            </a:solidFill>
            <a:ln>
              <a:noFill/>
            </a:ln>
            <a:effectLst/>
          </c:spPr>
          <c:invertIfNegative val="0"/>
          <c:cat>
            <c:strRef>
              <c:f>Current_Operational_Cost!$J$18:$L$18</c:f>
              <c:strCache>
                <c:ptCount val="3"/>
                <c:pt idx="0">
                  <c:v>Low</c:v>
                </c:pt>
                <c:pt idx="1">
                  <c:v>Baseline</c:v>
                </c:pt>
                <c:pt idx="2">
                  <c:v>High</c:v>
                </c:pt>
              </c:strCache>
            </c:strRef>
          </c:cat>
          <c:val>
            <c:numRef>
              <c:f>Current_Operational_Cost!$J$64:$L$64</c:f>
              <c:numCache>
                <c:formatCode>_(* #,##0_);_(* \(#,##0\);_(* "-"??_);_(@_)</c:formatCode>
                <c:ptCount val="3"/>
                <c:pt idx="0">
                  <c:v>0</c:v>
                </c:pt>
                <c:pt idx="1">
                  <c:v>1093568.7500000002</c:v>
                </c:pt>
                <c:pt idx="2">
                  <c:v>0</c:v>
                </c:pt>
              </c:numCache>
            </c:numRef>
          </c:val>
          <c:extLst>
            <c:ext xmlns:c16="http://schemas.microsoft.com/office/drawing/2014/chart" uri="{C3380CC4-5D6E-409C-BE32-E72D297353CC}">
              <c16:uniqueId val="{00000002-9EDE-483E-9C75-6D3EFA297535}"/>
            </c:ext>
          </c:extLst>
        </c:ser>
        <c:ser>
          <c:idx val="3"/>
          <c:order val="3"/>
          <c:tx>
            <c:strRef>
              <c:f>Current_Operational_Cost!$A$65</c:f>
              <c:strCache>
                <c:ptCount val="1"/>
                <c:pt idx="0">
                  <c:v>Deep Space Robotic</c:v>
                </c:pt>
              </c:strCache>
            </c:strRef>
          </c:tx>
          <c:spPr>
            <a:solidFill>
              <a:schemeClr val="accent4"/>
            </a:solidFill>
            <a:ln>
              <a:noFill/>
            </a:ln>
            <a:effectLst/>
          </c:spPr>
          <c:invertIfNegative val="0"/>
          <c:cat>
            <c:strRef>
              <c:f>Current_Operational_Cost!$J$18:$L$18</c:f>
              <c:strCache>
                <c:ptCount val="3"/>
                <c:pt idx="0">
                  <c:v>Low</c:v>
                </c:pt>
                <c:pt idx="1">
                  <c:v>Baseline</c:v>
                </c:pt>
                <c:pt idx="2">
                  <c:v>High</c:v>
                </c:pt>
              </c:strCache>
            </c:strRef>
          </c:cat>
          <c:val>
            <c:numRef>
              <c:f>Current_Operational_Cost!$J$65:$L$65</c:f>
              <c:numCache>
                <c:formatCode>_(* #,##0_);_(* \(#,##0\);_(* "-"??_);_(@_)</c:formatCode>
                <c:ptCount val="3"/>
                <c:pt idx="0">
                  <c:v>0</c:v>
                </c:pt>
                <c:pt idx="1">
                  <c:v>0</c:v>
                </c:pt>
                <c:pt idx="2">
                  <c:v>0</c:v>
                </c:pt>
              </c:numCache>
            </c:numRef>
          </c:val>
          <c:extLst>
            <c:ext xmlns:c16="http://schemas.microsoft.com/office/drawing/2014/chart" uri="{C3380CC4-5D6E-409C-BE32-E72D297353CC}">
              <c16:uniqueId val="{00000003-9EDE-483E-9C75-6D3EFA297535}"/>
            </c:ext>
          </c:extLst>
        </c:ser>
        <c:ser>
          <c:idx val="4"/>
          <c:order val="4"/>
          <c:tx>
            <c:strRef>
              <c:f>Current_Operational_Cost!$A$66</c:f>
              <c:strCache>
                <c:ptCount val="1"/>
                <c:pt idx="0">
                  <c:v>Near Earth Robotic - Low Latency &amp; Complex Needs</c:v>
                </c:pt>
              </c:strCache>
            </c:strRef>
          </c:tx>
          <c:spPr>
            <a:solidFill>
              <a:schemeClr val="accent5"/>
            </a:solidFill>
            <a:ln>
              <a:noFill/>
            </a:ln>
            <a:effectLst/>
          </c:spPr>
          <c:invertIfNegative val="0"/>
          <c:cat>
            <c:strRef>
              <c:f>Current_Operational_Cost!$J$18:$L$18</c:f>
              <c:strCache>
                <c:ptCount val="3"/>
                <c:pt idx="0">
                  <c:v>Low</c:v>
                </c:pt>
                <c:pt idx="1">
                  <c:v>Baseline</c:v>
                </c:pt>
                <c:pt idx="2">
                  <c:v>High</c:v>
                </c:pt>
              </c:strCache>
            </c:strRef>
          </c:cat>
          <c:val>
            <c:numRef>
              <c:f>Current_Operational_Cost!$J$66:$L$66</c:f>
              <c:numCache>
                <c:formatCode>_(* #,##0_);_(* \(#,##0\);_(* "-"??_);_(@_)</c:formatCode>
                <c:ptCount val="3"/>
                <c:pt idx="0">
                  <c:v>0</c:v>
                </c:pt>
                <c:pt idx="1">
                  <c:v>0</c:v>
                </c:pt>
                <c:pt idx="2">
                  <c:v>0</c:v>
                </c:pt>
              </c:numCache>
            </c:numRef>
          </c:val>
          <c:extLst>
            <c:ext xmlns:c16="http://schemas.microsoft.com/office/drawing/2014/chart" uri="{C3380CC4-5D6E-409C-BE32-E72D297353CC}">
              <c16:uniqueId val="{00000004-9EDE-483E-9C75-6D3EFA297535}"/>
            </c:ext>
          </c:extLst>
        </c:ser>
        <c:ser>
          <c:idx val="5"/>
          <c:order val="5"/>
          <c:tx>
            <c:strRef>
              <c:f>Current_Operational_Cost!$A$67</c:f>
              <c:strCache>
                <c:ptCount val="1"/>
                <c:pt idx="0">
                  <c:v>Mission Operations</c:v>
                </c:pt>
              </c:strCache>
            </c:strRef>
          </c:tx>
          <c:spPr>
            <a:solidFill>
              <a:schemeClr val="accent6"/>
            </a:solidFill>
            <a:ln>
              <a:noFill/>
            </a:ln>
            <a:effectLst/>
          </c:spPr>
          <c:invertIfNegative val="0"/>
          <c:cat>
            <c:strRef>
              <c:f>Current_Operational_Cost!$J$18:$L$18</c:f>
              <c:strCache>
                <c:ptCount val="3"/>
                <c:pt idx="0">
                  <c:v>Low</c:v>
                </c:pt>
                <c:pt idx="1">
                  <c:v>Baseline</c:v>
                </c:pt>
                <c:pt idx="2">
                  <c:v>High</c:v>
                </c:pt>
              </c:strCache>
            </c:strRef>
          </c:cat>
          <c:val>
            <c:numRef>
              <c:f>Current_Operational_Cost!$J$67:$L$67</c:f>
              <c:numCache>
                <c:formatCode>_(* #,##0_);_(* \(#,##0\);_(* "-"??_);_(@_)</c:formatCode>
                <c:ptCount val="3"/>
                <c:pt idx="0">
                  <c:v>0</c:v>
                </c:pt>
                <c:pt idx="1">
                  <c:v>0</c:v>
                </c:pt>
                <c:pt idx="2">
                  <c:v>0</c:v>
                </c:pt>
              </c:numCache>
            </c:numRef>
          </c:val>
          <c:extLst>
            <c:ext xmlns:c16="http://schemas.microsoft.com/office/drawing/2014/chart" uri="{C3380CC4-5D6E-409C-BE32-E72D297353CC}">
              <c16:uniqueId val="{00000005-9EDE-483E-9C75-6D3EFA297535}"/>
            </c:ext>
          </c:extLst>
        </c:ser>
        <c:ser>
          <c:idx val="6"/>
          <c:order val="6"/>
          <c:tx>
            <c:strRef>
              <c:f>Current_Operational_Cost!$A$68</c:f>
              <c:strCache>
                <c:ptCount val="1"/>
                <c:pt idx="0">
                  <c:v>Terrestrial &amp; Aerial</c:v>
                </c:pt>
              </c:strCache>
            </c:strRef>
          </c:tx>
          <c:spPr>
            <a:solidFill>
              <a:schemeClr val="accent1">
                <a:lumMod val="60000"/>
              </a:schemeClr>
            </a:solidFill>
            <a:ln>
              <a:noFill/>
            </a:ln>
            <a:effectLst/>
          </c:spPr>
          <c:invertIfNegative val="0"/>
          <c:cat>
            <c:strRef>
              <c:f>Current_Operational_Cost!$J$18:$L$18</c:f>
              <c:strCache>
                <c:ptCount val="3"/>
                <c:pt idx="0">
                  <c:v>Low</c:v>
                </c:pt>
                <c:pt idx="1">
                  <c:v>Baseline</c:v>
                </c:pt>
                <c:pt idx="2">
                  <c:v>High</c:v>
                </c:pt>
              </c:strCache>
            </c:strRef>
          </c:cat>
          <c:val>
            <c:numRef>
              <c:f>Current_Operational_Cost!$J$68:$L$68</c:f>
              <c:numCache>
                <c:formatCode>_(* #,##0_);_(* \(#,##0\);_(* "-"??_);_(@_)</c:formatCode>
                <c:ptCount val="3"/>
                <c:pt idx="0">
                  <c:v>0</c:v>
                </c:pt>
                <c:pt idx="1">
                  <c:v>0</c:v>
                </c:pt>
                <c:pt idx="2">
                  <c:v>0</c:v>
                </c:pt>
              </c:numCache>
            </c:numRef>
          </c:val>
          <c:extLst>
            <c:ext xmlns:c16="http://schemas.microsoft.com/office/drawing/2014/chart" uri="{C3380CC4-5D6E-409C-BE32-E72D297353CC}">
              <c16:uniqueId val="{00000006-9EDE-483E-9C75-6D3EFA297535}"/>
            </c:ext>
          </c:extLst>
        </c:ser>
        <c:dLbls>
          <c:showLegendKey val="0"/>
          <c:showVal val="0"/>
          <c:showCatName val="0"/>
          <c:showSerName val="0"/>
          <c:showPercent val="0"/>
          <c:showBubbleSize val="0"/>
        </c:dLbls>
        <c:gapWidth val="150"/>
        <c:overlap val="100"/>
        <c:axId val="137607664"/>
        <c:axId val="292447984"/>
      </c:barChart>
      <c:catAx>
        <c:axId val="13760766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NASA Mission Projection Scenario</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2447984"/>
        <c:crosses val="autoZero"/>
        <c:auto val="1"/>
        <c:lblAlgn val="ctr"/>
        <c:lblOffset val="100"/>
        <c:noMultiLvlLbl val="0"/>
      </c:catAx>
      <c:valAx>
        <c:axId val="29244798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Current USD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607664"/>
        <c:crosses val="autoZero"/>
        <c:crossBetween val="between"/>
      </c:valAx>
      <c:spPr>
        <a:noFill/>
        <a:ln>
          <a:noFill/>
        </a:ln>
        <a:effectLst/>
      </c:spPr>
    </c:plotArea>
    <c:legend>
      <c:legendPos val="b"/>
      <c:layout>
        <c:manualLayout>
          <c:xMode val="edge"/>
          <c:yMode val="edge"/>
          <c:x val="4.5118163382714668E-2"/>
          <c:y val="0.81712453353338443"/>
          <c:w val="0.91471673487464633"/>
          <c:h val="0.17138423522680296"/>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a:t>Total Cost</a:t>
            </a:r>
            <a:r>
              <a:rPr lang="en-US" sz="1200" baseline="0"/>
              <a:t> for </a:t>
            </a:r>
            <a:r>
              <a:rPr lang="en-US" sz="1200" b="0" i="0" u="none" strike="noStrike" baseline="0">
                <a:effectLst/>
              </a:rPr>
              <a:t>Commercially-Provided Space Relay (SR) File Data Delivery and Networking (FDDN) S</a:t>
            </a:r>
            <a:r>
              <a:rPr lang="en-US" sz="1200" baseline="0"/>
              <a:t>ervices for 2022 </a:t>
            </a:r>
            <a:endParaRPr lang="en-US" sz="1200"/>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5067136050814248"/>
          <c:y val="0.20457169604725381"/>
          <c:w val="0.82165449393853007"/>
          <c:h val="0.44703985763921233"/>
        </c:manualLayout>
      </c:layout>
      <c:barChart>
        <c:barDir val="col"/>
        <c:grouping val="stacked"/>
        <c:varyColors val="0"/>
        <c:ser>
          <c:idx val="0"/>
          <c:order val="0"/>
          <c:tx>
            <c:strRef>
              <c:f>Current_Operational_Cost!$A$74</c:f>
              <c:strCache>
                <c:ptCount val="1"/>
                <c:pt idx="0">
                  <c:v>Human Space Flight</c:v>
                </c:pt>
              </c:strCache>
            </c:strRef>
          </c:tx>
          <c:spPr>
            <a:solidFill>
              <a:schemeClr val="accent1"/>
            </a:solidFill>
            <a:ln>
              <a:noFill/>
            </a:ln>
            <a:effectLst/>
          </c:spPr>
          <c:invertIfNegative val="0"/>
          <c:cat>
            <c:strRef>
              <c:f>Current_Operational_Cost!$J$18:$L$18</c:f>
              <c:strCache>
                <c:ptCount val="3"/>
                <c:pt idx="0">
                  <c:v>Low</c:v>
                </c:pt>
                <c:pt idx="1">
                  <c:v>Baseline</c:v>
                </c:pt>
                <c:pt idx="2">
                  <c:v>High</c:v>
                </c:pt>
              </c:strCache>
            </c:strRef>
          </c:cat>
          <c:val>
            <c:numRef>
              <c:f>Current_Operational_Cost!$J$74:$L$74</c:f>
              <c:numCache>
                <c:formatCode>_(* #,##0_);_(* \(#,##0\);_(* "-"??_);_(@_)</c:formatCode>
                <c:ptCount val="3"/>
                <c:pt idx="0">
                  <c:v>0</c:v>
                </c:pt>
                <c:pt idx="1">
                  <c:v>50263260</c:v>
                </c:pt>
                <c:pt idx="2">
                  <c:v>0</c:v>
                </c:pt>
              </c:numCache>
            </c:numRef>
          </c:val>
          <c:extLst>
            <c:ext xmlns:c16="http://schemas.microsoft.com/office/drawing/2014/chart" uri="{C3380CC4-5D6E-409C-BE32-E72D297353CC}">
              <c16:uniqueId val="{00000000-98C4-45EB-A8A4-58C7C0CA0AB6}"/>
            </c:ext>
          </c:extLst>
        </c:ser>
        <c:ser>
          <c:idx val="1"/>
          <c:order val="1"/>
          <c:tx>
            <c:strRef>
              <c:f>Current_Operational_Cost!$A$75</c:f>
              <c:strCache>
                <c:ptCount val="1"/>
                <c:pt idx="0">
                  <c:v>Near Earth Robotic - LEO Science</c:v>
                </c:pt>
              </c:strCache>
            </c:strRef>
          </c:tx>
          <c:spPr>
            <a:solidFill>
              <a:schemeClr val="accent2"/>
            </a:solidFill>
            <a:ln>
              <a:noFill/>
            </a:ln>
            <a:effectLst/>
          </c:spPr>
          <c:invertIfNegative val="0"/>
          <c:cat>
            <c:strRef>
              <c:f>Current_Operational_Cost!$J$18:$L$18</c:f>
              <c:strCache>
                <c:ptCount val="3"/>
                <c:pt idx="0">
                  <c:v>Low</c:v>
                </c:pt>
                <c:pt idx="1">
                  <c:v>Baseline</c:v>
                </c:pt>
                <c:pt idx="2">
                  <c:v>High</c:v>
                </c:pt>
              </c:strCache>
            </c:strRef>
          </c:cat>
          <c:val>
            <c:numRef>
              <c:f>Current_Operational_Cost!$J$75:$L$75</c:f>
              <c:numCache>
                <c:formatCode>_(* #,##0_);_(* \(#,##0\);_(* "-"??_);_(@_)</c:formatCode>
                <c:ptCount val="3"/>
                <c:pt idx="0">
                  <c:v>0</c:v>
                </c:pt>
                <c:pt idx="1">
                  <c:v>87581220</c:v>
                </c:pt>
                <c:pt idx="2">
                  <c:v>0</c:v>
                </c:pt>
              </c:numCache>
            </c:numRef>
          </c:val>
          <c:extLst>
            <c:ext xmlns:c16="http://schemas.microsoft.com/office/drawing/2014/chart" uri="{C3380CC4-5D6E-409C-BE32-E72D297353CC}">
              <c16:uniqueId val="{00000001-98C4-45EB-A8A4-58C7C0CA0AB6}"/>
            </c:ext>
          </c:extLst>
        </c:ser>
        <c:ser>
          <c:idx val="2"/>
          <c:order val="2"/>
          <c:tx>
            <c:strRef>
              <c:f>Current_Operational_Cost!$A$76</c:f>
              <c:strCache>
                <c:ptCount val="1"/>
                <c:pt idx="0">
                  <c:v>Near Earth Robotic - GEO and Near Earth</c:v>
                </c:pt>
              </c:strCache>
            </c:strRef>
          </c:tx>
          <c:spPr>
            <a:solidFill>
              <a:schemeClr val="accent3"/>
            </a:solidFill>
            <a:ln>
              <a:noFill/>
            </a:ln>
            <a:effectLst/>
          </c:spPr>
          <c:invertIfNegative val="0"/>
          <c:cat>
            <c:strRef>
              <c:f>Current_Operational_Cost!$J$18:$L$18</c:f>
              <c:strCache>
                <c:ptCount val="3"/>
                <c:pt idx="0">
                  <c:v>Low</c:v>
                </c:pt>
                <c:pt idx="1">
                  <c:v>Baseline</c:v>
                </c:pt>
                <c:pt idx="2">
                  <c:v>High</c:v>
                </c:pt>
              </c:strCache>
            </c:strRef>
          </c:cat>
          <c:val>
            <c:numRef>
              <c:f>Current_Operational_Cost!$J$76:$L$76</c:f>
              <c:numCache>
                <c:formatCode>_(* #,##0_);_(* \(#,##0\);_(* "-"??_);_(@_)</c:formatCode>
                <c:ptCount val="3"/>
                <c:pt idx="0">
                  <c:v>0</c:v>
                </c:pt>
                <c:pt idx="1">
                  <c:v>8740</c:v>
                </c:pt>
                <c:pt idx="2">
                  <c:v>0</c:v>
                </c:pt>
              </c:numCache>
            </c:numRef>
          </c:val>
          <c:extLst>
            <c:ext xmlns:c16="http://schemas.microsoft.com/office/drawing/2014/chart" uri="{C3380CC4-5D6E-409C-BE32-E72D297353CC}">
              <c16:uniqueId val="{00000002-98C4-45EB-A8A4-58C7C0CA0AB6}"/>
            </c:ext>
          </c:extLst>
        </c:ser>
        <c:ser>
          <c:idx val="3"/>
          <c:order val="3"/>
          <c:tx>
            <c:strRef>
              <c:f>Current_Operational_Cost!$A$77</c:f>
              <c:strCache>
                <c:ptCount val="1"/>
                <c:pt idx="0">
                  <c:v>Deep Space Robotic</c:v>
                </c:pt>
              </c:strCache>
            </c:strRef>
          </c:tx>
          <c:spPr>
            <a:solidFill>
              <a:schemeClr val="accent4"/>
            </a:solidFill>
            <a:ln>
              <a:noFill/>
            </a:ln>
            <a:effectLst/>
          </c:spPr>
          <c:invertIfNegative val="0"/>
          <c:cat>
            <c:strRef>
              <c:f>Current_Operational_Cost!$J$18:$L$18</c:f>
              <c:strCache>
                <c:ptCount val="3"/>
                <c:pt idx="0">
                  <c:v>Low</c:v>
                </c:pt>
                <c:pt idx="1">
                  <c:v>Baseline</c:v>
                </c:pt>
                <c:pt idx="2">
                  <c:v>High</c:v>
                </c:pt>
              </c:strCache>
            </c:strRef>
          </c:cat>
          <c:val>
            <c:numRef>
              <c:f>Current_Operational_Cost!$J$77:$L$77</c:f>
              <c:numCache>
                <c:formatCode>_(* #,##0_);_(* \(#,##0\);_(* "-"??_);_(@_)</c:formatCode>
                <c:ptCount val="3"/>
                <c:pt idx="0">
                  <c:v>0</c:v>
                </c:pt>
                <c:pt idx="1">
                  <c:v>11440</c:v>
                </c:pt>
                <c:pt idx="2">
                  <c:v>0</c:v>
                </c:pt>
              </c:numCache>
            </c:numRef>
          </c:val>
          <c:extLst>
            <c:ext xmlns:c16="http://schemas.microsoft.com/office/drawing/2014/chart" uri="{C3380CC4-5D6E-409C-BE32-E72D297353CC}">
              <c16:uniqueId val="{00000003-98C4-45EB-A8A4-58C7C0CA0AB6}"/>
            </c:ext>
          </c:extLst>
        </c:ser>
        <c:ser>
          <c:idx val="4"/>
          <c:order val="4"/>
          <c:tx>
            <c:strRef>
              <c:f>Current_Operational_Cost!$A$78</c:f>
              <c:strCache>
                <c:ptCount val="1"/>
                <c:pt idx="0">
                  <c:v>Near Earth Robotic - Low Latency &amp; Complex Needs</c:v>
                </c:pt>
              </c:strCache>
            </c:strRef>
          </c:tx>
          <c:spPr>
            <a:solidFill>
              <a:schemeClr val="accent5"/>
            </a:solidFill>
            <a:ln>
              <a:noFill/>
            </a:ln>
            <a:effectLst/>
          </c:spPr>
          <c:invertIfNegative val="0"/>
          <c:cat>
            <c:strRef>
              <c:f>Current_Operational_Cost!$J$18:$L$18</c:f>
              <c:strCache>
                <c:ptCount val="3"/>
                <c:pt idx="0">
                  <c:v>Low</c:v>
                </c:pt>
                <c:pt idx="1">
                  <c:v>Baseline</c:v>
                </c:pt>
                <c:pt idx="2">
                  <c:v>High</c:v>
                </c:pt>
              </c:strCache>
            </c:strRef>
          </c:cat>
          <c:val>
            <c:numRef>
              <c:f>Current_Operational_Cost!$J$78:$L$78</c:f>
              <c:numCache>
                <c:formatCode>_(* #,##0_);_(* \(#,##0\);_(* "-"??_);_(@_)</c:formatCode>
                <c:ptCount val="3"/>
                <c:pt idx="0">
                  <c:v>0</c:v>
                </c:pt>
                <c:pt idx="1">
                  <c:v>163760</c:v>
                </c:pt>
                <c:pt idx="2">
                  <c:v>0</c:v>
                </c:pt>
              </c:numCache>
            </c:numRef>
          </c:val>
          <c:extLst>
            <c:ext xmlns:c16="http://schemas.microsoft.com/office/drawing/2014/chart" uri="{C3380CC4-5D6E-409C-BE32-E72D297353CC}">
              <c16:uniqueId val="{00000004-98C4-45EB-A8A4-58C7C0CA0AB6}"/>
            </c:ext>
          </c:extLst>
        </c:ser>
        <c:ser>
          <c:idx val="5"/>
          <c:order val="5"/>
          <c:tx>
            <c:strRef>
              <c:f>Current_Operational_Cost!$A$79</c:f>
              <c:strCache>
                <c:ptCount val="1"/>
                <c:pt idx="0">
                  <c:v>Mission Operations</c:v>
                </c:pt>
              </c:strCache>
            </c:strRef>
          </c:tx>
          <c:spPr>
            <a:solidFill>
              <a:schemeClr val="accent6"/>
            </a:solidFill>
            <a:ln>
              <a:noFill/>
            </a:ln>
            <a:effectLst/>
          </c:spPr>
          <c:invertIfNegative val="0"/>
          <c:cat>
            <c:strRef>
              <c:f>Current_Operational_Cost!$J$18:$L$18</c:f>
              <c:strCache>
                <c:ptCount val="3"/>
                <c:pt idx="0">
                  <c:v>Low</c:v>
                </c:pt>
                <c:pt idx="1">
                  <c:v>Baseline</c:v>
                </c:pt>
                <c:pt idx="2">
                  <c:v>High</c:v>
                </c:pt>
              </c:strCache>
            </c:strRef>
          </c:cat>
          <c:val>
            <c:numRef>
              <c:f>Current_Operational_Cost!$J$79:$L$79</c:f>
              <c:numCache>
                <c:formatCode>_(* #,##0_);_(* \(#,##0\);_(* "-"??_);_(@_)</c:formatCode>
                <c:ptCount val="3"/>
                <c:pt idx="0">
                  <c:v>0</c:v>
                </c:pt>
                <c:pt idx="1">
                  <c:v>0</c:v>
                </c:pt>
                <c:pt idx="2">
                  <c:v>0</c:v>
                </c:pt>
              </c:numCache>
            </c:numRef>
          </c:val>
          <c:extLst>
            <c:ext xmlns:c16="http://schemas.microsoft.com/office/drawing/2014/chart" uri="{C3380CC4-5D6E-409C-BE32-E72D297353CC}">
              <c16:uniqueId val="{00000005-98C4-45EB-A8A4-58C7C0CA0AB6}"/>
            </c:ext>
          </c:extLst>
        </c:ser>
        <c:ser>
          <c:idx val="6"/>
          <c:order val="6"/>
          <c:tx>
            <c:strRef>
              <c:f>Current_Operational_Cost!$A$80</c:f>
              <c:strCache>
                <c:ptCount val="1"/>
                <c:pt idx="0">
                  <c:v>Terrestrial &amp; Aerial</c:v>
                </c:pt>
              </c:strCache>
            </c:strRef>
          </c:tx>
          <c:spPr>
            <a:solidFill>
              <a:schemeClr val="accent1">
                <a:lumMod val="60000"/>
              </a:schemeClr>
            </a:solidFill>
            <a:ln>
              <a:noFill/>
            </a:ln>
            <a:effectLst/>
          </c:spPr>
          <c:invertIfNegative val="0"/>
          <c:cat>
            <c:strRef>
              <c:f>Current_Operational_Cost!$J$18:$L$18</c:f>
              <c:strCache>
                <c:ptCount val="3"/>
                <c:pt idx="0">
                  <c:v>Low</c:v>
                </c:pt>
                <c:pt idx="1">
                  <c:v>Baseline</c:v>
                </c:pt>
                <c:pt idx="2">
                  <c:v>High</c:v>
                </c:pt>
              </c:strCache>
            </c:strRef>
          </c:cat>
          <c:val>
            <c:numRef>
              <c:f>Current_Operational_Cost!$J$80:$L$80</c:f>
              <c:numCache>
                <c:formatCode>_(* #,##0_);_(* \(#,##0\);_(* "-"??_);_(@_)</c:formatCode>
                <c:ptCount val="3"/>
                <c:pt idx="0">
                  <c:v>0</c:v>
                </c:pt>
                <c:pt idx="1">
                  <c:v>1448900</c:v>
                </c:pt>
                <c:pt idx="2">
                  <c:v>0</c:v>
                </c:pt>
              </c:numCache>
            </c:numRef>
          </c:val>
          <c:extLst>
            <c:ext xmlns:c16="http://schemas.microsoft.com/office/drawing/2014/chart" uri="{C3380CC4-5D6E-409C-BE32-E72D297353CC}">
              <c16:uniqueId val="{00000006-98C4-45EB-A8A4-58C7C0CA0AB6}"/>
            </c:ext>
          </c:extLst>
        </c:ser>
        <c:dLbls>
          <c:showLegendKey val="0"/>
          <c:showVal val="0"/>
          <c:showCatName val="0"/>
          <c:showSerName val="0"/>
          <c:showPercent val="0"/>
          <c:showBubbleSize val="0"/>
        </c:dLbls>
        <c:gapWidth val="150"/>
        <c:overlap val="100"/>
        <c:axId val="137607664"/>
        <c:axId val="292447984"/>
      </c:barChart>
      <c:catAx>
        <c:axId val="13760766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NASA Mission Projection Scenario</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2447984"/>
        <c:crosses val="autoZero"/>
        <c:auto val="1"/>
        <c:lblAlgn val="ctr"/>
        <c:lblOffset val="100"/>
        <c:noMultiLvlLbl val="0"/>
      </c:catAx>
      <c:valAx>
        <c:axId val="29244798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Current USD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607664"/>
        <c:crosses val="autoZero"/>
        <c:crossBetween val="between"/>
      </c:valAx>
      <c:spPr>
        <a:noFill/>
        <a:ln>
          <a:noFill/>
        </a:ln>
        <a:effectLst/>
      </c:spPr>
    </c:plotArea>
    <c:legend>
      <c:legendPos val="b"/>
      <c:layout>
        <c:manualLayout>
          <c:xMode val="edge"/>
          <c:yMode val="edge"/>
          <c:x val="4.5118163382714668E-2"/>
          <c:y val="0.81712453353338443"/>
          <c:w val="0.91471673487464633"/>
          <c:h val="0.17138423522680296"/>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Cost for all ADD and FDDN</a:t>
            </a:r>
            <a:r>
              <a:rPr lang="en-US" baseline="0"/>
              <a:t> services 2023-2027</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Current_Operational_Cost!$L$88</c:f>
              <c:strCache>
                <c:ptCount val="1"/>
                <c:pt idx="0">
                  <c:v>ADD Direct to Earth (DTE)</c:v>
                </c:pt>
              </c:strCache>
            </c:strRef>
          </c:tx>
          <c:spPr>
            <a:solidFill>
              <a:schemeClr val="accent1"/>
            </a:solidFill>
            <a:ln>
              <a:noFill/>
            </a:ln>
            <a:effectLst/>
          </c:spPr>
          <c:invertIfNegative val="0"/>
          <c:cat>
            <c:strRef>
              <c:f>Current_Operational_Cost!$M$87:$O$87</c:f>
              <c:strCache>
                <c:ptCount val="3"/>
                <c:pt idx="0">
                  <c:v>Low</c:v>
                </c:pt>
                <c:pt idx="1">
                  <c:v>Baseline</c:v>
                </c:pt>
                <c:pt idx="2">
                  <c:v>High</c:v>
                </c:pt>
              </c:strCache>
            </c:strRef>
          </c:cat>
          <c:val>
            <c:numRef>
              <c:f>Current_Operational_Cost!$M$88:$O$88</c:f>
              <c:numCache>
                <c:formatCode>_(* #,##0_);_(* \(#,##0\);_(* "-"??_);_(@_)</c:formatCode>
                <c:ptCount val="3"/>
                <c:pt idx="0">
                  <c:v>0</c:v>
                </c:pt>
                <c:pt idx="1">
                  <c:v>6003749.5</c:v>
                </c:pt>
                <c:pt idx="2">
                  <c:v>0</c:v>
                </c:pt>
              </c:numCache>
            </c:numRef>
          </c:val>
          <c:extLst>
            <c:ext xmlns:c16="http://schemas.microsoft.com/office/drawing/2014/chart" uri="{C3380CC4-5D6E-409C-BE32-E72D297353CC}">
              <c16:uniqueId val="{00000000-2740-414C-8D1E-52BF72129510}"/>
            </c:ext>
          </c:extLst>
        </c:ser>
        <c:ser>
          <c:idx val="1"/>
          <c:order val="1"/>
          <c:tx>
            <c:strRef>
              <c:f>Current_Operational_Cost!$L$89</c:f>
              <c:strCache>
                <c:ptCount val="1"/>
                <c:pt idx="0">
                  <c:v>ADD Space Relay (SR)</c:v>
                </c:pt>
              </c:strCache>
            </c:strRef>
          </c:tx>
          <c:spPr>
            <a:solidFill>
              <a:schemeClr val="accent2"/>
            </a:solidFill>
            <a:ln>
              <a:noFill/>
            </a:ln>
            <a:effectLst/>
          </c:spPr>
          <c:invertIfNegative val="0"/>
          <c:cat>
            <c:strRef>
              <c:f>Current_Operational_Cost!$M$87:$O$87</c:f>
              <c:strCache>
                <c:ptCount val="3"/>
                <c:pt idx="0">
                  <c:v>Low</c:v>
                </c:pt>
                <c:pt idx="1">
                  <c:v>Baseline</c:v>
                </c:pt>
                <c:pt idx="2">
                  <c:v>High</c:v>
                </c:pt>
              </c:strCache>
            </c:strRef>
          </c:cat>
          <c:val>
            <c:numRef>
              <c:f>Current_Operational_Cost!$M$89:$O$89</c:f>
              <c:numCache>
                <c:formatCode>_(* #,##0_);_(* \(#,##0\);_(* "-"??_);_(@_)</c:formatCode>
                <c:ptCount val="3"/>
                <c:pt idx="0">
                  <c:v>0</c:v>
                </c:pt>
                <c:pt idx="1">
                  <c:v>139477320</c:v>
                </c:pt>
                <c:pt idx="2">
                  <c:v>0</c:v>
                </c:pt>
              </c:numCache>
            </c:numRef>
          </c:val>
          <c:extLst>
            <c:ext xmlns:c16="http://schemas.microsoft.com/office/drawing/2014/chart" uri="{C3380CC4-5D6E-409C-BE32-E72D297353CC}">
              <c16:uniqueId val="{00000001-2740-414C-8D1E-52BF72129510}"/>
            </c:ext>
          </c:extLst>
        </c:ser>
        <c:ser>
          <c:idx val="2"/>
          <c:order val="2"/>
          <c:tx>
            <c:strRef>
              <c:f>Current_Operational_Cost!$L$90</c:f>
              <c:strCache>
                <c:ptCount val="1"/>
                <c:pt idx="0">
                  <c:v>ADD Launch Events (LE)</c:v>
                </c:pt>
              </c:strCache>
            </c:strRef>
          </c:tx>
          <c:spPr>
            <a:solidFill>
              <a:schemeClr val="accent3"/>
            </a:solidFill>
            <a:ln>
              <a:noFill/>
            </a:ln>
            <a:effectLst/>
          </c:spPr>
          <c:invertIfNegative val="0"/>
          <c:cat>
            <c:strRef>
              <c:f>Current_Operational_Cost!$M$87:$O$87</c:f>
              <c:strCache>
                <c:ptCount val="3"/>
                <c:pt idx="0">
                  <c:v>Low</c:v>
                </c:pt>
                <c:pt idx="1">
                  <c:v>Baseline</c:v>
                </c:pt>
                <c:pt idx="2">
                  <c:v>High</c:v>
                </c:pt>
              </c:strCache>
            </c:strRef>
          </c:cat>
          <c:val>
            <c:numRef>
              <c:f>Current_Operational_Cost!$M$90:$O$90</c:f>
              <c:numCache>
                <c:formatCode>_(* #,##0_);_(* \(#,##0\);_(* "-"??_);_(@_)</c:formatCode>
                <c:ptCount val="3"/>
                <c:pt idx="0">
                  <c:v>0</c:v>
                </c:pt>
                <c:pt idx="1">
                  <c:v>66880</c:v>
                </c:pt>
                <c:pt idx="2">
                  <c:v>0</c:v>
                </c:pt>
              </c:numCache>
            </c:numRef>
          </c:val>
          <c:extLst>
            <c:ext xmlns:c16="http://schemas.microsoft.com/office/drawing/2014/chart" uri="{C3380CC4-5D6E-409C-BE32-E72D297353CC}">
              <c16:uniqueId val="{00000002-2740-414C-8D1E-52BF72129510}"/>
            </c:ext>
          </c:extLst>
        </c:ser>
        <c:ser>
          <c:idx val="3"/>
          <c:order val="3"/>
          <c:tx>
            <c:strRef>
              <c:f>Current_Operational_Cost!$L$91</c:f>
              <c:strCache>
                <c:ptCount val="1"/>
                <c:pt idx="0">
                  <c:v>FDDN Direct to Earth (DTE)</c:v>
                </c:pt>
              </c:strCache>
            </c:strRef>
          </c:tx>
          <c:spPr>
            <a:solidFill>
              <a:schemeClr val="accent4"/>
            </a:solidFill>
            <a:ln>
              <a:noFill/>
            </a:ln>
            <a:effectLst/>
          </c:spPr>
          <c:invertIfNegative val="0"/>
          <c:cat>
            <c:strRef>
              <c:f>Current_Operational_Cost!$M$87:$O$87</c:f>
              <c:strCache>
                <c:ptCount val="3"/>
                <c:pt idx="0">
                  <c:v>Low</c:v>
                </c:pt>
                <c:pt idx="1">
                  <c:v>Baseline</c:v>
                </c:pt>
                <c:pt idx="2">
                  <c:v>High</c:v>
                </c:pt>
              </c:strCache>
            </c:strRef>
          </c:cat>
          <c:val>
            <c:numRef>
              <c:f>Current_Operational_Cost!$M$91:$O$91</c:f>
              <c:numCache>
                <c:formatCode>_(* #,##0_);_(* \(#,##0\);_(* "-"??_);_(@_)</c:formatCode>
                <c:ptCount val="3"/>
                <c:pt idx="0">
                  <c:v>0</c:v>
                </c:pt>
                <c:pt idx="1">
                  <c:v>6003749.5</c:v>
                </c:pt>
                <c:pt idx="2">
                  <c:v>0</c:v>
                </c:pt>
              </c:numCache>
            </c:numRef>
          </c:val>
          <c:extLst>
            <c:ext xmlns:c16="http://schemas.microsoft.com/office/drawing/2014/chart" uri="{C3380CC4-5D6E-409C-BE32-E72D297353CC}">
              <c16:uniqueId val="{00000003-2740-414C-8D1E-52BF72129510}"/>
            </c:ext>
          </c:extLst>
        </c:ser>
        <c:ser>
          <c:idx val="4"/>
          <c:order val="4"/>
          <c:tx>
            <c:strRef>
              <c:f>Current_Operational_Cost!$L$92</c:f>
              <c:strCache>
                <c:ptCount val="1"/>
                <c:pt idx="0">
                  <c:v>FDDN Space Relay (SR)</c:v>
                </c:pt>
              </c:strCache>
            </c:strRef>
          </c:tx>
          <c:spPr>
            <a:solidFill>
              <a:schemeClr val="accent5"/>
            </a:solidFill>
            <a:ln>
              <a:noFill/>
            </a:ln>
            <a:effectLst/>
          </c:spPr>
          <c:invertIfNegative val="0"/>
          <c:cat>
            <c:strRef>
              <c:f>Current_Operational_Cost!$M$87:$O$87</c:f>
              <c:strCache>
                <c:ptCount val="3"/>
                <c:pt idx="0">
                  <c:v>Low</c:v>
                </c:pt>
                <c:pt idx="1">
                  <c:v>Baseline</c:v>
                </c:pt>
                <c:pt idx="2">
                  <c:v>High</c:v>
                </c:pt>
              </c:strCache>
            </c:strRef>
          </c:cat>
          <c:val>
            <c:numRef>
              <c:f>Current_Operational_Cost!$M$92:$O$92</c:f>
              <c:numCache>
                <c:formatCode>_(* #,##0_);_(* \(#,##0\);_(* "-"??_);_(@_)</c:formatCode>
                <c:ptCount val="3"/>
                <c:pt idx="0">
                  <c:v>0</c:v>
                </c:pt>
                <c:pt idx="1">
                  <c:v>139477320</c:v>
                </c:pt>
                <c:pt idx="2">
                  <c:v>0</c:v>
                </c:pt>
              </c:numCache>
            </c:numRef>
          </c:val>
          <c:extLst>
            <c:ext xmlns:c16="http://schemas.microsoft.com/office/drawing/2014/chart" uri="{C3380CC4-5D6E-409C-BE32-E72D297353CC}">
              <c16:uniqueId val="{00000004-2740-414C-8D1E-52BF72129510}"/>
            </c:ext>
          </c:extLst>
        </c:ser>
        <c:dLbls>
          <c:showLegendKey val="0"/>
          <c:showVal val="0"/>
          <c:showCatName val="0"/>
          <c:showSerName val="0"/>
          <c:showPercent val="0"/>
          <c:showBubbleSize val="0"/>
        </c:dLbls>
        <c:gapWidth val="150"/>
        <c:overlap val="100"/>
        <c:axId val="138945104"/>
        <c:axId val="138946352"/>
      </c:barChart>
      <c:catAx>
        <c:axId val="13894510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NASA Mission Projection Scenario</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946352"/>
        <c:crosses val="autoZero"/>
        <c:auto val="1"/>
        <c:lblAlgn val="ctr"/>
        <c:lblOffset val="100"/>
        <c:noMultiLvlLbl val="0"/>
      </c:catAx>
      <c:valAx>
        <c:axId val="13894635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50" b="0" i="0" baseline="0">
                    <a:effectLst/>
                  </a:rPr>
                  <a:t>Current USD</a:t>
                </a:r>
                <a:endParaRPr lang="en-US" sz="5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945104"/>
        <c:crosses val="autoZero"/>
        <c:crossBetween val="between"/>
      </c:valAx>
      <c:spPr>
        <a:noFill/>
        <a:ln>
          <a:noFill/>
        </a:ln>
        <a:effectLst/>
      </c:spPr>
    </c:plotArea>
    <c:legend>
      <c:legendPos val="b"/>
      <c:layout>
        <c:manualLayout>
          <c:xMode val="edge"/>
          <c:yMode val="edge"/>
          <c:x val="0.18425294659006902"/>
          <c:y val="0.82291557305336838"/>
          <c:w val="0.76561822653079359"/>
          <c:h val="0.1493066491688538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a:t>Total Cost</a:t>
            </a:r>
            <a:r>
              <a:rPr lang="en-US" sz="1200" baseline="0"/>
              <a:t> for Assured Data Delivery (ADD) by use case for Direct To Earth (DTE) services 2023-2027</a:t>
            </a:r>
            <a:endParaRPr lang="en-US" sz="1200"/>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5067136050814248"/>
          <c:y val="0.20457169604725381"/>
          <c:w val="0.82165449393853007"/>
          <c:h val="0.44703985763921233"/>
        </c:manualLayout>
      </c:layout>
      <c:barChart>
        <c:barDir val="col"/>
        <c:grouping val="stacked"/>
        <c:varyColors val="0"/>
        <c:ser>
          <c:idx val="0"/>
          <c:order val="0"/>
          <c:tx>
            <c:strRef>
              <c:f>Future_Cost!$A$19</c:f>
              <c:strCache>
                <c:ptCount val="1"/>
                <c:pt idx="0">
                  <c:v>Human Space Flight</c:v>
                </c:pt>
              </c:strCache>
            </c:strRef>
          </c:tx>
          <c:spPr>
            <a:solidFill>
              <a:schemeClr val="accent1"/>
            </a:solidFill>
            <a:ln>
              <a:noFill/>
            </a:ln>
            <a:effectLst/>
          </c:spPr>
          <c:invertIfNegative val="0"/>
          <c:cat>
            <c:strRef>
              <c:f>Future_Cost!$M$18:$O$18</c:f>
              <c:strCache>
                <c:ptCount val="3"/>
                <c:pt idx="0">
                  <c:v>Low</c:v>
                </c:pt>
                <c:pt idx="1">
                  <c:v>Baseline</c:v>
                </c:pt>
                <c:pt idx="2">
                  <c:v>High</c:v>
                </c:pt>
              </c:strCache>
            </c:strRef>
          </c:cat>
          <c:val>
            <c:numRef>
              <c:f>Future_Cost!$M$19:$O$19</c:f>
              <c:numCache>
                <c:formatCode>_(* #,##0_);_(* \(#,##0\);_(* "-"??_);_(@_)</c:formatCode>
                <c:ptCount val="3"/>
                <c:pt idx="0">
                  <c:v>2311859.361414168</c:v>
                </c:pt>
                <c:pt idx="1">
                  <c:v>3467789.042121252</c:v>
                </c:pt>
                <c:pt idx="2">
                  <c:v>3467789.042121252</c:v>
                </c:pt>
              </c:numCache>
            </c:numRef>
          </c:val>
          <c:extLst>
            <c:ext xmlns:c16="http://schemas.microsoft.com/office/drawing/2014/chart" uri="{C3380CC4-5D6E-409C-BE32-E72D297353CC}">
              <c16:uniqueId val="{00000000-9AD4-4DB6-90E5-A82D3FCA58BE}"/>
            </c:ext>
          </c:extLst>
        </c:ser>
        <c:ser>
          <c:idx val="1"/>
          <c:order val="1"/>
          <c:tx>
            <c:strRef>
              <c:f>Future_Cost!$A$20</c:f>
              <c:strCache>
                <c:ptCount val="1"/>
                <c:pt idx="0">
                  <c:v>Near Earth Robotic - LEO Science</c:v>
                </c:pt>
              </c:strCache>
            </c:strRef>
          </c:tx>
          <c:spPr>
            <a:solidFill>
              <a:schemeClr val="accent2"/>
            </a:solidFill>
            <a:ln>
              <a:noFill/>
            </a:ln>
            <a:effectLst/>
          </c:spPr>
          <c:invertIfNegative val="0"/>
          <c:cat>
            <c:strRef>
              <c:f>Future_Cost!$M$18:$O$18</c:f>
              <c:strCache>
                <c:ptCount val="3"/>
                <c:pt idx="0">
                  <c:v>Low</c:v>
                </c:pt>
                <c:pt idx="1">
                  <c:v>Baseline</c:v>
                </c:pt>
                <c:pt idx="2">
                  <c:v>High</c:v>
                </c:pt>
              </c:strCache>
            </c:strRef>
          </c:cat>
          <c:val>
            <c:numRef>
              <c:f>Future_Cost!$M$20:$O$20</c:f>
              <c:numCache>
                <c:formatCode>_(* #,##0_);_(* \(#,##0\);_(* "-"??_);_(@_)</c:formatCode>
                <c:ptCount val="3"/>
                <c:pt idx="0">
                  <c:v>36989749.782626688</c:v>
                </c:pt>
                <c:pt idx="1">
                  <c:v>50860905.951111697</c:v>
                </c:pt>
                <c:pt idx="2">
                  <c:v>64732062.119596705</c:v>
                </c:pt>
              </c:numCache>
            </c:numRef>
          </c:val>
          <c:extLst>
            <c:ext xmlns:c16="http://schemas.microsoft.com/office/drawing/2014/chart" uri="{C3380CC4-5D6E-409C-BE32-E72D297353CC}">
              <c16:uniqueId val="{00000001-9AD4-4DB6-90E5-A82D3FCA58BE}"/>
            </c:ext>
          </c:extLst>
        </c:ser>
        <c:ser>
          <c:idx val="2"/>
          <c:order val="2"/>
          <c:tx>
            <c:strRef>
              <c:f>Future_Cost!$A$21</c:f>
              <c:strCache>
                <c:ptCount val="1"/>
                <c:pt idx="0">
                  <c:v>Near Earth Robotic - GEO and Near Earth</c:v>
                </c:pt>
              </c:strCache>
            </c:strRef>
          </c:tx>
          <c:spPr>
            <a:solidFill>
              <a:schemeClr val="accent3"/>
            </a:solidFill>
            <a:ln>
              <a:noFill/>
            </a:ln>
            <a:effectLst/>
          </c:spPr>
          <c:invertIfNegative val="0"/>
          <c:cat>
            <c:strRef>
              <c:f>Future_Cost!$M$18:$O$18</c:f>
              <c:strCache>
                <c:ptCount val="3"/>
                <c:pt idx="0">
                  <c:v>Low</c:v>
                </c:pt>
                <c:pt idx="1">
                  <c:v>Baseline</c:v>
                </c:pt>
                <c:pt idx="2">
                  <c:v>High</c:v>
                </c:pt>
              </c:strCache>
            </c:strRef>
          </c:cat>
          <c:val>
            <c:numRef>
              <c:f>Future_Cost!$M$21:$O$21</c:f>
              <c:numCache>
                <c:formatCode>_(* #,##0_);_(* \(#,##0\);_(* "-"??_);_(@_)</c:formatCode>
                <c:ptCount val="3"/>
                <c:pt idx="0">
                  <c:v>17338945.210606262</c:v>
                </c:pt>
                <c:pt idx="1">
                  <c:v>24274523.294848762</c:v>
                </c:pt>
                <c:pt idx="2">
                  <c:v>30054171.698384184</c:v>
                </c:pt>
              </c:numCache>
            </c:numRef>
          </c:val>
          <c:extLst>
            <c:ext xmlns:c16="http://schemas.microsoft.com/office/drawing/2014/chart" uri="{C3380CC4-5D6E-409C-BE32-E72D297353CC}">
              <c16:uniqueId val="{00000002-9AD4-4DB6-90E5-A82D3FCA58BE}"/>
            </c:ext>
          </c:extLst>
        </c:ser>
        <c:ser>
          <c:idx val="3"/>
          <c:order val="3"/>
          <c:tx>
            <c:strRef>
              <c:f>Future_Cost!$A$22</c:f>
              <c:strCache>
                <c:ptCount val="1"/>
                <c:pt idx="0">
                  <c:v>Deep Space Robotic</c:v>
                </c:pt>
              </c:strCache>
            </c:strRef>
          </c:tx>
          <c:spPr>
            <a:solidFill>
              <a:schemeClr val="accent4"/>
            </a:solidFill>
            <a:ln>
              <a:noFill/>
            </a:ln>
            <a:effectLst/>
          </c:spPr>
          <c:invertIfNegative val="0"/>
          <c:cat>
            <c:strRef>
              <c:f>Future_Cost!$M$18:$O$18</c:f>
              <c:strCache>
                <c:ptCount val="3"/>
                <c:pt idx="0">
                  <c:v>Low</c:v>
                </c:pt>
                <c:pt idx="1">
                  <c:v>Baseline</c:v>
                </c:pt>
                <c:pt idx="2">
                  <c:v>High</c:v>
                </c:pt>
              </c:strCache>
            </c:strRef>
          </c:cat>
          <c:val>
            <c:numRef>
              <c:f>Future_Cost!$M$22:$O$22</c:f>
              <c:numCache>
                <c:formatCode>_(* #,##0_);_(* \(#,##0\);_(* "-"??_);_(@_)</c:formatCode>
                <c:ptCount val="3"/>
                <c:pt idx="0">
                  <c:v>0</c:v>
                </c:pt>
                <c:pt idx="1">
                  <c:v>0</c:v>
                </c:pt>
                <c:pt idx="2">
                  <c:v>0</c:v>
                </c:pt>
              </c:numCache>
            </c:numRef>
          </c:val>
          <c:extLst>
            <c:ext xmlns:c16="http://schemas.microsoft.com/office/drawing/2014/chart" uri="{C3380CC4-5D6E-409C-BE32-E72D297353CC}">
              <c16:uniqueId val="{00000003-9AD4-4DB6-90E5-A82D3FCA58BE}"/>
            </c:ext>
          </c:extLst>
        </c:ser>
        <c:ser>
          <c:idx val="4"/>
          <c:order val="4"/>
          <c:tx>
            <c:strRef>
              <c:f>Future_Cost!$A$23</c:f>
              <c:strCache>
                <c:ptCount val="1"/>
                <c:pt idx="0">
                  <c:v>Near Earth Robotic - Low Latency &amp; Complex Needs</c:v>
                </c:pt>
              </c:strCache>
            </c:strRef>
          </c:tx>
          <c:spPr>
            <a:solidFill>
              <a:schemeClr val="accent5"/>
            </a:solidFill>
            <a:ln>
              <a:noFill/>
            </a:ln>
            <a:effectLst/>
          </c:spPr>
          <c:invertIfNegative val="0"/>
          <c:cat>
            <c:strRef>
              <c:f>Future_Cost!$M$18:$O$18</c:f>
              <c:strCache>
                <c:ptCount val="3"/>
                <c:pt idx="0">
                  <c:v>Low</c:v>
                </c:pt>
                <c:pt idx="1">
                  <c:v>Baseline</c:v>
                </c:pt>
                <c:pt idx="2">
                  <c:v>High</c:v>
                </c:pt>
              </c:strCache>
            </c:strRef>
          </c:cat>
          <c:val>
            <c:numRef>
              <c:f>Future_Cost!$M$23:$O$23</c:f>
              <c:numCache>
                <c:formatCode>_(* #,##0_);_(* \(#,##0\);_(* "-"??_);_(@_)</c:formatCode>
                <c:ptCount val="3"/>
                <c:pt idx="0">
                  <c:v>0</c:v>
                </c:pt>
                <c:pt idx="1">
                  <c:v>0</c:v>
                </c:pt>
                <c:pt idx="2">
                  <c:v>0</c:v>
                </c:pt>
              </c:numCache>
            </c:numRef>
          </c:val>
          <c:extLst>
            <c:ext xmlns:c16="http://schemas.microsoft.com/office/drawing/2014/chart" uri="{C3380CC4-5D6E-409C-BE32-E72D297353CC}">
              <c16:uniqueId val="{00000004-9AD4-4DB6-90E5-A82D3FCA58BE}"/>
            </c:ext>
          </c:extLst>
        </c:ser>
        <c:ser>
          <c:idx val="5"/>
          <c:order val="5"/>
          <c:tx>
            <c:strRef>
              <c:f>Future_Cost!$A$24</c:f>
              <c:strCache>
                <c:ptCount val="1"/>
                <c:pt idx="0">
                  <c:v>Mission Operations</c:v>
                </c:pt>
              </c:strCache>
            </c:strRef>
          </c:tx>
          <c:spPr>
            <a:solidFill>
              <a:schemeClr val="accent6"/>
            </a:solidFill>
            <a:ln>
              <a:noFill/>
            </a:ln>
            <a:effectLst/>
          </c:spPr>
          <c:invertIfNegative val="0"/>
          <c:cat>
            <c:strRef>
              <c:f>Future_Cost!$M$18:$O$18</c:f>
              <c:strCache>
                <c:ptCount val="3"/>
                <c:pt idx="0">
                  <c:v>Low</c:v>
                </c:pt>
                <c:pt idx="1">
                  <c:v>Baseline</c:v>
                </c:pt>
                <c:pt idx="2">
                  <c:v>High</c:v>
                </c:pt>
              </c:strCache>
            </c:strRef>
          </c:cat>
          <c:val>
            <c:numRef>
              <c:f>Future_Cost!$M$24:$O$24</c:f>
              <c:numCache>
                <c:formatCode>_(* #,##0_);_(* \(#,##0\);_(* "-"??_);_(@_)</c:formatCode>
                <c:ptCount val="3"/>
                <c:pt idx="0">
                  <c:v>0</c:v>
                </c:pt>
                <c:pt idx="1">
                  <c:v>0</c:v>
                </c:pt>
                <c:pt idx="2">
                  <c:v>0</c:v>
                </c:pt>
              </c:numCache>
            </c:numRef>
          </c:val>
          <c:extLst>
            <c:ext xmlns:c16="http://schemas.microsoft.com/office/drawing/2014/chart" uri="{C3380CC4-5D6E-409C-BE32-E72D297353CC}">
              <c16:uniqueId val="{00000005-9AD4-4DB6-90E5-A82D3FCA58BE}"/>
            </c:ext>
          </c:extLst>
        </c:ser>
        <c:ser>
          <c:idx val="6"/>
          <c:order val="6"/>
          <c:tx>
            <c:strRef>
              <c:f>Future_Cost!$A$25</c:f>
              <c:strCache>
                <c:ptCount val="1"/>
                <c:pt idx="0">
                  <c:v>Terrestrial &amp; Aerial</c:v>
                </c:pt>
              </c:strCache>
            </c:strRef>
          </c:tx>
          <c:spPr>
            <a:solidFill>
              <a:schemeClr val="accent1">
                <a:lumMod val="60000"/>
              </a:schemeClr>
            </a:solidFill>
            <a:ln>
              <a:noFill/>
            </a:ln>
            <a:effectLst/>
          </c:spPr>
          <c:invertIfNegative val="0"/>
          <c:cat>
            <c:strRef>
              <c:f>Future_Cost!$M$18:$O$18</c:f>
              <c:strCache>
                <c:ptCount val="3"/>
                <c:pt idx="0">
                  <c:v>Low</c:v>
                </c:pt>
                <c:pt idx="1">
                  <c:v>Baseline</c:v>
                </c:pt>
                <c:pt idx="2">
                  <c:v>High</c:v>
                </c:pt>
              </c:strCache>
            </c:strRef>
          </c:cat>
          <c:val>
            <c:numRef>
              <c:f>Future_Cost!$M$25:$O$25</c:f>
              <c:numCache>
                <c:formatCode>_(* #,##0_);_(* \(#,##0\);_(* "-"??_);_(@_)</c:formatCode>
                <c:ptCount val="3"/>
                <c:pt idx="0">
                  <c:v>0</c:v>
                </c:pt>
                <c:pt idx="1">
                  <c:v>0</c:v>
                </c:pt>
                <c:pt idx="2">
                  <c:v>0</c:v>
                </c:pt>
              </c:numCache>
            </c:numRef>
          </c:val>
          <c:extLst>
            <c:ext xmlns:c16="http://schemas.microsoft.com/office/drawing/2014/chart" uri="{C3380CC4-5D6E-409C-BE32-E72D297353CC}">
              <c16:uniqueId val="{00000006-9AD4-4DB6-90E5-A82D3FCA58BE}"/>
            </c:ext>
          </c:extLst>
        </c:ser>
        <c:dLbls>
          <c:showLegendKey val="0"/>
          <c:showVal val="0"/>
          <c:showCatName val="0"/>
          <c:showSerName val="0"/>
          <c:showPercent val="0"/>
          <c:showBubbleSize val="0"/>
        </c:dLbls>
        <c:gapWidth val="150"/>
        <c:overlap val="100"/>
        <c:axId val="137607664"/>
        <c:axId val="292447984"/>
      </c:barChart>
      <c:catAx>
        <c:axId val="13760766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NASA Mission Projection Scenario</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2447984"/>
        <c:crosses val="autoZero"/>
        <c:auto val="1"/>
        <c:lblAlgn val="ctr"/>
        <c:lblOffset val="100"/>
        <c:noMultiLvlLbl val="0"/>
      </c:catAx>
      <c:valAx>
        <c:axId val="29244798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Current USD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607664"/>
        <c:crosses val="autoZero"/>
        <c:crossBetween val="between"/>
      </c:valAx>
      <c:spPr>
        <a:noFill/>
        <a:ln>
          <a:noFill/>
        </a:ln>
        <a:effectLst/>
      </c:spPr>
    </c:plotArea>
    <c:legend>
      <c:legendPos val="b"/>
      <c:layout>
        <c:manualLayout>
          <c:xMode val="edge"/>
          <c:yMode val="edge"/>
          <c:x val="4.5118163382714668E-2"/>
          <c:y val="0.81712453353338443"/>
          <c:w val="0.91471673487464633"/>
          <c:h val="0.17138423522680296"/>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a:t>Total Cost</a:t>
            </a:r>
            <a:r>
              <a:rPr lang="en-US" sz="1200" baseline="0"/>
              <a:t> for Assured Data Delivery (ADD) by use case for Space Relay (SR) services 2023-2027</a:t>
            </a:r>
            <a:endParaRPr lang="en-US" sz="1200"/>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5067136050814248"/>
          <c:y val="0.20457169604725381"/>
          <c:w val="0.82165449393853007"/>
          <c:h val="0.44703985763921233"/>
        </c:manualLayout>
      </c:layout>
      <c:barChart>
        <c:barDir val="col"/>
        <c:grouping val="stacked"/>
        <c:varyColors val="0"/>
        <c:ser>
          <c:idx val="0"/>
          <c:order val="0"/>
          <c:tx>
            <c:strRef>
              <c:f>Future_Cost!$A$31</c:f>
              <c:strCache>
                <c:ptCount val="1"/>
                <c:pt idx="0">
                  <c:v>Human Space Flight</c:v>
                </c:pt>
              </c:strCache>
            </c:strRef>
          </c:tx>
          <c:spPr>
            <a:solidFill>
              <a:schemeClr val="accent1"/>
            </a:solidFill>
            <a:ln>
              <a:noFill/>
            </a:ln>
            <a:effectLst/>
          </c:spPr>
          <c:invertIfNegative val="0"/>
          <c:cat>
            <c:strRef>
              <c:f>Future_Cost!$M$18:$O$18</c:f>
              <c:strCache>
                <c:ptCount val="3"/>
                <c:pt idx="0">
                  <c:v>Low</c:v>
                </c:pt>
                <c:pt idx="1">
                  <c:v>Baseline</c:v>
                </c:pt>
                <c:pt idx="2">
                  <c:v>High</c:v>
                </c:pt>
              </c:strCache>
            </c:strRef>
          </c:cat>
          <c:val>
            <c:numRef>
              <c:f>Future_Cost!$M$31:$O$31</c:f>
              <c:numCache>
                <c:formatCode>_(* #,##0_);_(* \(#,##0\);_(* "-"??_);_(@_)</c:formatCode>
                <c:ptCount val="3"/>
                <c:pt idx="0">
                  <c:v>243043836.16299725</c:v>
                </c:pt>
                <c:pt idx="1">
                  <c:v>344312101.23091274</c:v>
                </c:pt>
                <c:pt idx="2">
                  <c:v>445580366.29882836</c:v>
                </c:pt>
              </c:numCache>
            </c:numRef>
          </c:val>
          <c:extLst>
            <c:ext xmlns:c16="http://schemas.microsoft.com/office/drawing/2014/chart" uri="{C3380CC4-5D6E-409C-BE32-E72D297353CC}">
              <c16:uniqueId val="{00000000-23B2-43B4-988D-CBA8587F1D21}"/>
            </c:ext>
          </c:extLst>
        </c:ser>
        <c:ser>
          <c:idx val="1"/>
          <c:order val="1"/>
          <c:tx>
            <c:strRef>
              <c:f>Future_Cost!$A$32</c:f>
              <c:strCache>
                <c:ptCount val="1"/>
                <c:pt idx="0">
                  <c:v>Near Earth Robotic - LEO Science</c:v>
                </c:pt>
              </c:strCache>
            </c:strRef>
          </c:tx>
          <c:spPr>
            <a:solidFill>
              <a:schemeClr val="accent2"/>
            </a:solidFill>
            <a:ln>
              <a:noFill/>
            </a:ln>
            <a:effectLst/>
          </c:spPr>
          <c:invertIfNegative val="0"/>
          <c:cat>
            <c:strRef>
              <c:f>Future_Cost!$M$18:$O$18</c:f>
              <c:strCache>
                <c:ptCount val="3"/>
                <c:pt idx="0">
                  <c:v>Low</c:v>
                </c:pt>
                <c:pt idx="1">
                  <c:v>Baseline</c:v>
                </c:pt>
                <c:pt idx="2">
                  <c:v>High</c:v>
                </c:pt>
              </c:strCache>
            </c:strRef>
          </c:cat>
          <c:val>
            <c:numRef>
              <c:f>Future_Cost!$M$32:$O$32</c:f>
              <c:numCache>
                <c:formatCode>_(* #,##0_);_(* \(#,##0\);_(* "-"??_);_(@_)</c:formatCode>
                <c:ptCount val="3"/>
                <c:pt idx="0">
                  <c:v>384819407.25807893</c:v>
                </c:pt>
                <c:pt idx="1">
                  <c:v>546848631.3667438</c:v>
                </c:pt>
                <c:pt idx="2">
                  <c:v>688624202.46182549</c:v>
                </c:pt>
              </c:numCache>
            </c:numRef>
          </c:val>
          <c:extLst>
            <c:ext xmlns:c16="http://schemas.microsoft.com/office/drawing/2014/chart" uri="{C3380CC4-5D6E-409C-BE32-E72D297353CC}">
              <c16:uniqueId val="{00000001-23B2-43B4-988D-CBA8587F1D21}"/>
            </c:ext>
          </c:extLst>
        </c:ser>
        <c:ser>
          <c:idx val="2"/>
          <c:order val="2"/>
          <c:tx>
            <c:strRef>
              <c:f>Future_Cost!$A$33</c:f>
              <c:strCache>
                <c:ptCount val="1"/>
                <c:pt idx="0">
                  <c:v>Near Earth Robotic - GEO and Near Earth</c:v>
                </c:pt>
              </c:strCache>
            </c:strRef>
          </c:tx>
          <c:spPr>
            <a:solidFill>
              <a:schemeClr val="accent3"/>
            </a:solidFill>
            <a:ln>
              <a:noFill/>
            </a:ln>
            <a:effectLst/>
          </c:spPr>
          <c:invertIfNegative val="0"/>
          <c:cat>
            <c:strRef>
              <c:f>Future_Cost!$M$18:$O$18</c:f>
              <c:strCache>
                <c:ptCount val="3"/>
                <c:pt idx="0">
                  <c:v>Low</c:v>
                </c:pt>
                <c:pt idx="1">
                  <c:v>Baseline</c:v>
                </c:pt>
                <c:pt idx="2">
                  <c:v>High</c:v>
                </c:pt>
              </c:strCache>
            </c:strRef>
          </c:cat>
          <c:val>
            <c:numRef>
              <c:f>Future_Cost!$M$33:$O$33</c:f>
              <c:numCache>
                <c:formatCode>_(* #,##0_);_(* \(#,##0\);_(* "-"??_);_(@_)</c:formatCode>
                <c:ptCount val="3"/>
                <c:pt idx="0">
                  <c:v>60760959.040749311</c:v>
                </c:pt>
                <c:pt idx="1">
                  <c:v>81014612.054332405</c:v>
                </c:pt>
                <c:pt idx="2">
                  <c:v>101268265.0679155</c:v>
                </c:pt>
              </c:numCache>
            </c:numRef>
          </c:val>
          <c:extLst>
            <c:ext xmlns:c16="http://schemas.microsoft.com/office/drawing/2014/chart" uri="{C3380CC4-5D6E-409C-BE32-E72D297353CC}">
              <c16:uniqueId val="{00000002-23B2-43B4-988D-CBA8587F1D21}"/>
            </c:ext>
          </c:extLst>
        </c:ser>
        <c:ser>
          <c:idx val="3"/>
          <c:order val="3"/>
          <c:tx>
            <c:strRef>
              <c:f>Future_Cost!$A$34</c:f>
              <c:strCache>
                <c:ptCount val="1"/>
                <c:pt idx="0">
                  <c:v>Deep Space Robotic</c:v>
                </c:pt>
              </c:strCache>
            </c:strRef>
          </c:tx>
          <c:spPr>
            <a:solidFill>
              <a:schemeClr val="accent4"/>
            </a:solidFill>
            <a:ln>
              <a:noFill/>
            </a:ln>
            <a:effectLst/>
          </c:spPr>
          <c:invertIfNegative val="0"/>
          <c:cat>
            <c:strRef>
              <c:f>Future_Cost!$M$18:$O$18</c:f>
              <c:strCache>
                <c:ptCount val="3"/>
                <c:pt idx="0">
                  <c:v>Low</c:v>
                </c:pt>
                <c:pt idx="1">
                  <c:v>Baseline</c:v>
                </c:pt>
                <c:pt idx="2">
                  <c:v>High</c:v>
                </c:pt>
              </c:strCache>
            </c:strRef>
          </c:cat>
          <c:val>
            <c:numRef>
              <c:f>Future_Cost!$M$34:$O$34</c:f>
              <c:numCache>
                <c:formatCode>_(* #,##0_);_(* \(#,##0\);_(* "-"??_);_(@_)</c:formatCode>
                <c:ptCount val="3"/>
                <c:pt idx="0">
                  <c:v>20253653.013583101</c:v>
                </c:pt>
                <c:pt idx="1">
                  <c:v>20253653.013583101</c:v>
                </c:pt>
                <c:pt idx="2">
                  <c:v>20253653.013583101</c:v>
                </c:pt>
              </c:numCache>
            </c:numRef>
          </c:val>
          <c:extLst>
            <c:ext xmlns:c16="http://schemas.microsoft.com/office/drawing/2014/chart" uri="{C3380CC4-5D6E-409C-BE32-E72D297353CC}">
              <c16:uniqueId val="{00000003-23B2-43B4-988D-CBA8587F1D21}"/>
            </c:ext>
          </c:extLst>
        </c:ser>
        <c:ser>
          <c:idx val="4"/>
          <c:order val="4"/>
          <c:tx>
            <c:strRef>
              <c:f>Future_Cost!$A$35</c:f>
              <c:strCache>
                <c:ptCount val="1"/>
                <c:pt idx="0">
                  <c:v>Near Earth Robotic - Low Latency &amp; Complex Needs</c:v>
                </c:pt>
              </c:strCache>
            </c:strRef>
          </c:tx>
          <c:spPr>
            <a:solidFill>
              <a:schemeClr val="accent5"/>
            </a:solidFill>
            <a:ln>
              <a:noFill/>
            </a:ln>
            <a:effectLst/>
          </c:spPr>
          <c:invertIfNegative val="0"/>
          <c:cat>
            <c:strRef>
              <c:f>Future_Cost!$M$18:$O$18</c:f>
              <c:strCache>
                <c:ptCount val="3"/>
                <c:pt idx="0">
                  <c:v>Low</c:v>
                </c:pt>
                <c:pt idx="1">
                  <c:v>Baseline</c:v>
                </c:pt>
                <c:pt idx="2">
                  <c:v>High</c:v>
                </c:pt>
              </c:strCache>
            </c:strRef>
          </c:cat>
          <c:val>
            <c:numRef>
              <c:f>Future_Cost!$M$35:$O$35</c:f>
              <c:numCache>
                <c:formatCode>_(* #,##0_);_(* \(#,##0\);_(* "-"??_);_(@_)</c:formatCode>
                <c:ptCount val="3"/>
                <c:pt idx="0">
                  <c:v>40507306.027166203</c:v>
                </c:pt>
                <c:pt idx="1">
                  <c:v>40507306.027166203</c:v>
                </c:pt>
                <c:pt idx="2">
                  <c:v>60760959.040749311</c:v>
                </c:pt>
              </c:numCache>
            </c:numRef>
          </c:val>
          <c:extLst>
            <c:ext xmlns:c16="http://schemas.microsoft.com/office/drawing/2014/chart" uri="{C3380CC4-5D6E-409C-BE32-E72D297353CC}">
              <c16:uniqueId val="{00000004-23B2-43B4-988D-CBA8587F1D21}"/>
            </c:ext>
          </c:extLst>
        </c:ser>
        <c:ser>
          <c:idx val="5"/>
          <c:order val="5"/>
          <c:tx>
            <c:strRef>
              <c:f>Future_Cost!$A$36</c:f>
              <c:strCache>
                <c:ptCount val="1"/>
                <c:pt idx="0">
                  <c:v>Mission Operations</c:v>
                </c:pt>
              </c:strCache>
            </c:strRef>
          </c:tx>
          <c:spPr>
            <a:solidFill>
              <a:schemeClr val="accent6"/>
            </a:solidFill>
            <a:ln>
              <a:noFill/>
            </a:ln>
            <a:effectLst/>
          </c:spPr>
          <c:invertIfNegative val="0"/>
          <c:cat>
            <c:strRef>
              <c:f>Future_Cost!$M$18:$O$18</c:f>
              <c:strCache>
                <c:ptCount val="3"/>
                <c:pt idx="0">
                  <c:v>Low</c:v>
                </c:pt>
                <c:pt idx="1">
                  <c:v>Baseline</c:v>
                </c:pt>
                <c:pt idx="2">
                  <c:v>High</c:v>
                </c:pt>
              </c:strCache>
            </c:strRef>
          </c:cat>
          <c:val>
            <c:numRef>
              <c:f>Future_Cost!$M$36:$O$36</c:f>
              <c:numCache>
                <c:formatCode>_(* #,##0_);_(* \(#,##0\);_(* "-"??_);_(@_)</c:formatCode>
                <c:ptCount val="3"/>
                <c:pt idx="0">
                  <c:v>0</c:v>
                </c:pt>
                <c:pt idx="1">
                  <c:v>0</c:v>
                </c:pt>
                <c:pt idx="2">
                  <c:v>0</c:v>
                </c:pt>
              </c:numCache>
            </c:numRef>
          </c:val>
          <c:extLst>
            <c:ext xmlns:c16="http://schemas.microsoft.com/office/drawing/2014/chart" uri="{C3380CC4-5D6E-409C-BE32-E72D297353CC}">
              <c16:uniqueId val="{00000005-23B2-43B4-988D-CBA8587F1D21}"/>
            </c:ext>
          </c:extLst>
        </c:ser>
        <c:ser>
          <c:idx val="6"/>
          <c:order val="6"/>
          <c:tx>
            <c:strRef>
              <c:f>Future_Cost!$A$37</c:f>
              <c:strCache>
                <c:ptCount val="1"/>
                <c:pt idx="0">
                  <c:v>Terrestrial &amp; Aerial</c:v>
                </c:pt>
              </c:strCache>
            </c:strRef>
          </c:tx>
          <c:spPr>
            <a:solidFill>
              <a:schemeClr val="accent1">
                <a:lumMod val="60000"/>
              </a:schemeClr>
            </a:solidFill>
            <a:ln>
              <a:noFill/>
            </a:ln>
            <a:effectLst/>
          </c:spPr>
          <c:invertIfNegative val="0"/>
          <c:cat>
            <c:strRef>
              <c:f>Future_Cost!$M$18:$O$18</c:f>
              <c:strCache>
                <c:ptCount val="3"/>
                <c:pt idx="0">
                  <c:v>Low</c:v>
                </c:pt>
                <c:pt idx="1">
                  <c:v>Baseline</c:v>
                </c:pt>
                <c:pt idx="2">
                  <c:v>High</c:v>
                </c:pt>
              </c:strCache>
            </c:strRef>
          </c:cat>
          <c:val>
            <c:numRef>
              <c:f>Future_Cost!$M$37:$O$37</c:f>
              <c:numCache>
                <c:formatCode>_(* #,##0_);_(* \(#,##0\);_(* "-"??_);_(@_)</c:formatCode>
                <c:ptCount val="3"/>
                <c:pt idx="0">
                  <c:v>243043836.16299725</c:v>
                </c:pt>
                <c:pt idx="1">
                  <c:v>324058448.21732962</c:v>
                </c:pt>
                <c:pt idx="2">
                  <c:v>405073060.271662</c:v>
                </c:pt>
              </c:numCache>
            </c:numRef>
          </c:val>
          <c:extLst>
            <c:ext xmlns:c16="http://schemas.microsoft.com/office/drawing/2014/chart" uri="{C3380CC4-5D6E-409C-BE32-E72D297353CC}">
              <c16:uniqueId val="{00000006-23B2-43B4-988D-CBA8587F1D21}"/>
            </c:ext>
          </c:extLst>
        </c:ser>
        <c:dLbls>
          <c:showLegendKey val="0"/>
          <c:showVal val="0"/>
          <c:showCatName val="0"/>
          <c:showSerName val="0"/>
          <c:showPercent val="0"/>
          <c:showBubbleSize val="0"/>
        </c:dLbls>
        <c:gapWidth val="150"/>
        <c:overlap val="100"/>
        <c:axId val="137607664"/>
        <c:axId val="292447984"/>
      </c:barChart>
      <c:catAx>
        <c:axId val="13760766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NASA Mission Projection Scenario</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2447984"/>
        <c:crosses val="autoZero"/>
        <c:auto val="1"/>
        <c:lblAlgn val="ctr"/>
        <c:lblOffset val="100"/>
        <c:noMultiLvlLbl val="0"/>
      </c:catAx>
      <c:valAx>
        <c:axId val="29244798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Current USD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607664"/>
        <c:crosses val="autoZero"/>
        <c:crossBetween val="between"/>
      </c:valAx>
      <c:spPr>
        <a:noFill/>
        <a:ln>
          <a:noFill/>
        </a:ln>
        <a:effectLst/>
      </c:spPr>
    </c:plotArea>
    <c:legend>
      <c:legendPos val="b"/>
      <c:layout>
        <c:manualLayout>
          <c:xMode val="edge"/>
          <c:yMode val="edge"/>
          <c:x val="4.5118163382714668E-2"/>
          <c:y val="0.81712453353338443"/>
          <c:w val="0.91471673487464633"/>
          <c:h val="0.17138423522680296"/>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a:t>Total Cost</a:t>
            </a:r>
            <a:r>
              <a:rPr lang="en-US" sz="1200" baseline="0"/>
              <a:t> for File Data Delivery and Networking (FDDN) by use case for Direct To Earth (DTE) services 2023-2027</a:t>
            </a:r>
            <a:endParaRPr lang="en-US" sz="1200"/>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5067136050814248"/>
          <c:y val="0.20457169604725381"/>
          <c:w val="0.82165449393853007"/>
          <c:h val="0.44703985763921233"/>
        </c:manualLayout>
      </c:layout>
      <c:barChart>
        <c:barDir val="col"/>
        <c:grouping val="stacked"/>
        <c:varyColors val="0"/>
        <c:ser>
          <c:idx val="0"/>
          <c:order val="0"/>
          <c:tx>
            <c:strRef>
              <c:f>Future_Cost!$A$62</c:f>
              <c:strCache>
                <c:ptCount val="1"/>
                <c:pt idx="0">
                  <c:v>Human Space Flight</c:v>
                </c:pt>
              </c:strCache>
            </c:strRef>
          </c:tx>
          <c:spPr>
            <a:solidFill>
              <a:schemeClr val="accent1"/>
            </a:solidFill>
            <a:ln>
              <a:noFill/>
            </a:ln>
            <a:effectLst/>
          </c:spPr>
          <c:invertIfNegative val="0"/>
          <c:cat>
            <c:strRef>
              <c:f>Future_Cost!$M$18:$O$18</c:f>
              <c:strCache>
                <c:ptCount val="3"/>
                <c:pt idx="0">
                  <c:v>Low</c:v>
                </c:pt>
                <c:pt idx="1">
                  <c:v>Baseline</c:v>
                </c:pt>
                <c:pt idx="2">
                  <c:v>High</c:v>
                </c:pt>
              </c:strCache>
            </c:strRef>
          </c:cat>
          <c:val>
            <c:numRef>
              <c:f>Future_Cost!$M$62:$O$62</c:f>
              <c:numCache>
                <c:formatCode>_(* #,##0_);_(* \(#,##0\);_(* "-"??_);_(@_)</c:formatCode>
                <c:ptCount val="3"/>
                <c:pt idx="0">
                  <c:v>2311859.361414168</c:v>
                </c:pt>
                <c:pt idx="1">
                  <c:v>2311859.361414168</c:v>
                </c:pt>
                <c:pt idx="2">
                  <c:v>3467789.042121252</c:v>
                </c:pt>
              </c:numCache>
            </c:numRef>
          </c:val>
          <c:extLst>
            <c:ext xmlns:c16="http://schemas.microsoft.com/office/drawing/2014/chart" uri="{C3380CC4-5D6E-409C-BE32-E72D297353CC}">
              <c16:uniqueId val="{00000000-63EF-4B45-880E-4DFF4423F761}"/>
            </c:ext>
          </c:extLst>
        </c:ser>
        <c:ser>
          <c:idx val="1"/>
          <c:order val="1"/>
          <c:tx>
            <c:strRef>
              <c:f>Future_Cost!$A$63</c:f>
              <c:strCache>
                <c:ptCount val="1"/>
                <c:pt idx="0">
                  <c:v>Near Earth Robotic - LEO Science</c:v>
                </c:pt>
              </c:strCache>
            </c:strRef>
          </c:tx>
          <c:spPr>
            <a:solidFill>
              <a:schemeClr val="accent2"/>
            </a:solidFill>
            <a:ln>
              <a:noFill/>
            </a:ln>
            <a:effectLst/>
          </c:spPr>
          <c:invertIfNegative val="0"/>
          <c:cat>
            <c:strRef>
              <c:f>Future_Cost!$M$18:$O$18</c:f>
              <c:strCache>
                <c:ptCount val="3"/>
                <c:pt idx="0">
                  <c:v>Low</c:v>
                </c:pt>
                <c:pt idx="1">
                  <c:v>Baseline</c:v>
                </c:pt>
                <c:pt idx="2">
                  <c:v>High</c:v>
                </c:pt>
              </c:strCache>
            </c:strRef>
          </c:cat>
          <c:val>
            <c:numRef>
              <c:f>Future_Cost!$M$63:$O$63</c:f>
              <c:numCache>
                <c:formatCode>_(* #,##0_);_(* \(#,##0\);_(* "-"??_);_(@_)</c:formatCode>
                <c:ptCount val="3"/>
                <c:pt idx="0">
                  <c:v>30054171.698384184</c:v>
                </c:pt>
                <c:pt idx="1">
                  <c:v>43925327.866869189</c:v>
                </c:pt>
                <c:pt idx="2">
                  <c:v>57796484.035354197</c:v>
                </c:pt>
              </c:numCache>
            </c:numRef>
          </c:val>
          <c:extLst>
            <c:ext xmlns:c16="http://schemas.microsoft.com/office/drawing/2014/chart" uri="{C3380CC4-5D6E-409C-BE32-E72D297353CC}">
              <c16:uniqueId val="{00000001-63EF-4B45-880E-4DFF4423F761}"/>
            </c:ext>
          </c:extLst>
        </c:ser>
        <c:ser>
          <c:idx val="2"/>
          <c:order val="2"/>
          <c:tx>
            <c:strRef>
              <c:f>Future_Cost!$A$64</c:f>
              <c:strCache>
                <c:ptCount val="1"/>
                <c:pt idx="0">
                  <c:v>Near Earth Robotic - GEO and Near Earth</c:v>
                </c:pt>
              </c:strCache>
            </c:strRef>
          </c:tx>
          <c:spPr>
            <a:solidFill>
              <a:schemeClr val="accent3"/>
            </a:solidFill>
            <a:ln>
              <a:noFill/>
            </a:ln>
            <a:effectLst/>
          </c:spPr>
          <c:invertIfNegative val="0"/>
          <c:cat>
            <c:strRef>
              <c:f>Future_Cost!$M$18:$O$18</c:f>
              <c:strCache>
                <c:ptCount val="3"/>
                <c:pt idx="0">
                  <c:v>Low</c:v>
                </c:pt>
                <c:pt idx="1">
                  <c:v>Baseline</c:v>
                </c:pt>
                <c:pt idx="2">
                  <c:v>High</c:v>
                </c:pt>
              </c:strCache>
            </c:strRef>
          </c:cat>
          <c:val>
            <c:numRef>
              <c:f>Future_Cost!$M$64:$O$64</c:f>
              <c:numCache>
                <c:formatCode>_(* #,##0_);_(* \(#,##0\);_(* "-"??_);_(@_)</c:formatCode>
                <c:ptCount val="3"/>
                <c:pt idx="0">
                  <c:v>13871156.168485008</c:v>
                </c:pt>
                <c:pt idx="1">
                  <c:v>20806734.252727509</c:v>
                </c:pt>
                <c:pt idx="2">
                  <c:v>26586382.65626293</c:v>
                </c:pt>
              </c:numCache>
            </c:numRef>
          </c:val>
          <c:extLst>
            <c:ext xmlns:c16="http://schemas.microsoft.com/office/drawing/2014/chart" uri="{C3380CC4-5D6E-409C-BE32-E72D297353CC}">
              <c16:uniqueId val="{00000002-63EF-4B45-880E-4DFF4423F761}"/>
            </c:ext>
          </c:extLst>
        </c:ser>
        <c:ser>
          <c:idx val="3"/>
          <c:order val="3"/>
          <c:tx>
            <c:strRef>
              <c:f>Future_Cost!$A$65</c:f>
              <c:strCache>
                <c:ptCount val="1"/>
                <c:pt idx="0">
                  <c:v>Deep Space Robotic</c:v>
                </c:pt>
              </c:strCache>
            </c:strRef>
          </c:tx>
          <c:spPr>
            <a:solidFill>
              <a:schemeClr val="accent4"/>
            </a:solidFill>
            <a:ln>
              <a:noFill/>
            </a:ln>
            <a:effectLst/>
          </c:spPr>
          <c:invertIfNegative val="0"/>
          <c:cat>
            <c:strRef>
              <c:f>Future_Cost!$M$18:$O$18</c:f>
              <c:strCache>
                <c:ptCount val="3"/>
                <c:pt idx="0">
                  <c:v>Low</c:v>
                </c:pt>
                <c:pt idx="1">
                  <c:v>Baseline</c:v>
                </c:pt>
                <c:pt idx="2">
                  <c:v>High</c:v>
                </c:pt>
              </c:strCache>
            </c:strRef>
          </c:cat>
          <c:val>
            <c:numRef>
              <c:f>Future_Cost!$M$65:$O$65</c:f>
              <c:numCache>
                <c:formatCode>_(* #,##0_);_(* \(#,##0\);_(* "-"??_);_(@_)</c:formatCode>
                <c:ptCount val="3"/>
                <c:pt idx="0">
                  <c:v>0</c:v>
                </c:pt>
                <c:pt idx="1">
                  <c:v>0</c:v>
                </c:pt>
                <c:pt idx="2">
                  <c:v>0</c:v>
                </c:pt>
              </c:numCache>
            </c:numRef>
          </c:val>
          <c:extLst>
            <c:ext xmlns:c16="http://schemas.microsoft.com/office/drawing/2014/chart" uri="{C3380CC4-5D6E-409C-BE32-E72D297353CC}">
              <c16:uniqueId val="{00000003-63EF-4B45-880E-4DFF4423F761}"/>
            </c:ext>
          </c:extLst>
        </c:ser>
        <c:ser>
          <c:idx val="4"/>
          <c:order val="4"/>
          <c:tx>
            <c:strRef>
              <c:f>Future_Cost!$A$66</c:f>
              <c:strCache>
                <c:ptCount val="1"/>
                <c:pt idx="0">
                  <c:v>Near Earth Robotic - Low Latency &amp; Complex Needs</c:v>
                </c:pt>
              </c:strCache>
            </c:strRef>
          </c:tx>
          <c:spPr>
            <a:solidFill>
              <a:schemeClr val="accent5"/>
            </a:solidFill>
            <a:ln>
              <a:noFill/>
            </a:ln>
            <a:effectLst/>
          </c:spPr>
          <c:invertIfNegative val="0"/>
          <c:cat>
            <c:strRef>
              <c:f>Future_Cost!$M$18:$O$18</c:f>
              <c:strCache>
                <c:ptCount val="3"/>
                <c:pt idx="0">
                  <c:v>Low</c:v>
                </c:pt>
                <c:pt idx="1">
                  <c:v>Baseline</c:v>
                </c:pt>
                <c:pt idx="2">
                  <c:v>High</c:v>
                </c:pt>
              </c:strCache>
            </c:strRef>
          </c:cat>
          <c:val>
            <c:numRef>
              <c:f>Future_Cost!$M$66:$O$66</c:f>
              <c:numCache>
                <c:formatCode>_(* #,##0_);_(* \(#,##0\);_(* "-"??_);_(@_)</c:formatCode>
                <c:ptCount val="3"/>
                <c:pt idx="0">
                  <c:v>0</c:v>
                </c:pt>
                <c:pt idx="1">
                  <c:v>0</c:v>
                </c:pt>
                <c:pt idx="2">
                  <c:v>0</c:v>
                </c:pt>
              </c:numCache>
            </c:numRef>
          </c:val>
          <c:extLst>
            <c:ext xmlns:c16="http://schemas.microsoft.com/office/drawing/2014/chart" uri="{C3380CC4-5D6E-409C-BE32-E72D297353CC}">
              <c16:uniqueId val="{00000004-63EF-4B45-880E-4DFF4423F761}"/>
            </c:ext>
          </c:extLst>
        </c:ser>
        <c:ser>
          <c:idx val="5"/>
          <c:order val="5"/>
          <c:tx>
            <c:strRef>
              <c:f>Future_Cost!$A$67</c:f>
              <c:strCache>
                <c:ptCount val="1"/>
                <c:pt idx="0">
                  <c:v>Mission Operations</c:v>
                </c:pt>
              </c:strCache>
            </c:strRef>
          </c:tx>
          <c:spPr>
            <a:solidFill>
              <a:schemeClr val="accent6"/>
            </a:solidFill>
            <a:ln>
              <a:noFill/>
            </a:ln>
            <a:effectLst/>
          </c:spPr>
          <c:invertIfNegative val="0"/>
          <c:cat>
            <c:strRef>
              <c:f>Future_Cost!$M$18:$O$18</c:f>
              <c:strCache>
                <c:ptCount val="3"/>
                <c:pt idx="0">
                  <c:v>Low</c:v>
                </c:pt>
                <c:pt idx="1">
                  <c:v>Baseline</c:v>
                </c:pt>
                <c:pt idx="2">
                  <c:v>High</c:v>
                </c:pt>
              </c:strCache>
            </c:strRef>
          </c:cat>
          <c:val>
            <c:numRef>
              <c:f>Future_Cost!$M$67:$O$67</c:f>
              <c:numCache>
                <c:formatCode>_(* #,##0_);_(* \(#,##0\);_(* "-"??_);_(@_)</c:formatCode>
                <c:ptCount val="3"/>
                <c:pt idx="0">
                  <c:v>0</c:v>
                </c:pt>
                <c:pt idx="1">
                  <c:v>0</c:v>
                </c:pt>
                <c:pt idx="2">
                  <c:v>0</c:v>
                </c:pt>
              </c:numCache>
            </c:numRef>
          </c:val>
          <c:extLst>
            <c:ext xmlns:c16="http://schemas.microsoft.com/office/drawing/2014/chart" uri="{C3380CC4-5D6E-409C-BE32-E72D297353CC}">
              <c16:uniqueId val="{00000005-63EF-4B45-880E-4DFF4423F761}"/>
            </c:ext>
          </c:extLst>
        </c:ser>
        <c:ser>
          <c:idx val="6"/>
          <c:order val="6"/>
          <c:tx>
            <c:strRef>
              <c:f>Future_Cost!$A$68</c:f>
              <c:strCache>
                <c:ptCount val="1"/>
                <c:pt idx="0">
                  <c:v>Terrestrial &amp; Aerial</c:v>
                </c:pt>
              </c:strCache>
            </c:strRef>
          </c:tx>
          <c:spPr>
            <a:solidFill>
              <a:schemeClr val="accent1">
                <a:lumMod val="60000"/>
              </a:schemeClr>
            </a:solidFill>
            <a:ln>
              <a:noFill/>
            </a:ln>
            <a:effectLst/>
          </c:spPr>
          <c:invertIfNegative val="0"/>
          <c:cat>
            <c:strRef>
              <c:f>Future_Cost!$M$18:$O$18</c:f>
              <c:strCache>
                <c:ptCount val="3"/>
                <c:pt idx="0">
                  <c:v>Low</c:v>
                </c:pt>
                <c:pt idx="1">
                  <c:v>Baseline</c:v>
                </c:pt>
                <c:pt idx="2">
                  <c:v>High</c:v>
                </c:pt>
              </c:strCache>
            </c:strRef>
          </c:cat>
          <c:val>
            <c:numRef>
              <c:f>Future_Cost!$M$68:$O$68</c:f>
              <c:numCache>
                <c:formatCode>_(* #,##0_);_(* \(#,##0\);_(* "-"??_);_(@_)</c:formatCode>
                <c:ptCount val="3"/>
                <c:pt idx="0">
                  <c:v>0</c:v>
                </c:pt>
                <c:pt idx="1">
                  <c:v>0</c:v>
                </c:pt>
                <c:pt idx="2">
                  <c:v>0</c:v>
                </c:pt>
              </c:numCache>
            </c:numRef>
          </c:val>
          <c:extLst>
            <c:ext xmlns:c16="http://schemas.microsoft.com/office/drawing/2014/chart" uri="{C3380CC4-5D6E-409C-BE32-E72D297353CC}">
              <c16:uniqueId val="{00000006-63EF-4B45-880E-4DFF4423F761}"/>
            </c:ext>
          </c:extLst>
        </c:ser>
        <c:dLbls>
          <c:showLegendKey val="0"/>
          <c:showVal val="0"/>
          <c:showCatName val="0"/>
          <c:showSerName val="0"/>
          <c:showPercent val="0"/>
          <c:showBubbleSize val="0"/>
        </c:dLbls>
        <c:gapWidth val="150"/>
        <c:overlap val="100"/>
        <c:axId val="137607664"/>
        <c:axId val="292447984"/>
      </c:barChart>
      <c:catAx>
        <c:axId val="13760766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NASA Mission Projection Scenario</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2447984"/>
        <c:crosses val="autoZero"/>
        <c:auto val="1"/>
        <c:lblAlgn val="ctr"/>
        <c:lblOffset val="100"/>
        <c:noMultiLvlLbl val="0"/>
      </c:catAx>
      <c:valAx>
        <c:axId val="29244798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Current USD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607664"/>
        <c:crosses val="autoZero"/>
        <c:crossBetween val="between"/>
      </c:valAx>
      <c:spPr>
        <a:noFill/>
        <a:ln>
          <a:noFill/>
        </a:ln>
        <a:effectLst/>
      </c:spPr>
    </c:plotArea>
    <c:legend>
      <c:legendPos val="b"/>
      <c:layout>
        <c:manualLayout>
          <c:xMode val="edge"/>
          <c:yMode val="edge"/>
          <c:x val="4.5118163382714668E-2"/>
          <c:y val="0.81712453353338443"/>
          <c:w val="0.91471673487464633"/>
          <c:h val="0.17138423522680296"/>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a:t>Total Cost</a:t>
            </a:r>
            <a:r>
              <a:rPr lang="en-US" sz="1200" baseline="0"/>
              <a:t> for </a:t>
            </a:r>
            <a:r>
              <a:rPr lang="en-US" sz="1200" b="0" i="0" u="none" strike="noStrike" baseline="0">
                <a:effectLst/>
              </a:rPr>
              <a:t>File Data Delivery and Networking (FDDN) </a:t>
            </a:r>
            <a:r>
              <a:rPr lang="en-US" sz="1200" baseline="0"/>
              <a:t>by use case for Space Relay (SR) services 2023-2027</a:t>
            </a:r>
            <a:endParaRPr lang="en-US" sz="1200"/>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5067136050814248"/>
          <c:y val="0.20457169604725381"/>
          <c:w val="0.82165449393853007"/>
          <c:h val="0.44703985763921233"/>
        </c:manualLayout>
      </c:layout>
      <c:barChart>
        <c:barDir val="col"/>
        <c:grouping val="stacked"/>
        <c:varyColors val="0"/>
        <c:ser>
          <c:idx val="0"/>
          <c:order val="0"/>
          <c:tx>
            <c:strRef>
              <c:f>Future_Cost!$A$74</c:f>
              <c:strCache>
                <c:ptCount val="1"/>
                <c:pt idx="0">
                  <c:v>Human Space Flight</c:v>
                </c:pt>
              </c:strCache>
            </c:strRef>
          </c:tx>
          <c:spPr>
            <a:solidFill>
              <a:schemeClr val="accent1"/>
            </a:solidFill>
            <a:ln>
              <a:noFill/>
            </a:ln>
            <a:effectLst/>
          </c:spPr>
          <c:invertIfNegative val="0"/>
          <c:cat>
            <c:strRef>
              <c:f>Future_Cost!$M$18:$O$18</c:f>
              <c:strCache>
                <c:ptCount val="3"/>
                <c:pt idx="0">
                  <c:v>Low</c:v>
                </c:pt>
                <c:pt idx="1">
                  <c:v>Baseline</c:v>
                </c:pt>
                <c:pt idx="2">
                  <c:v>High</c:v>
                </c:pt>
              </c:strCache>
            </c:strRef>
          </c:cat>
          <c:val>
            <c:numRef>
              <c:f>Future_Cost!$M$74:$O$74</c:f>
              <c:numCache>
                <c:formatCode>_(* #,##0_);_(* \(#,##0\);_(* "-"??_);_(@_)</c:formatCode>
                <c:ptCount val="3"/>
                <c:pt idx="0">
                  <c:v>40072228.931178905</c:v>
                </c:pt>
                <c:pt idx="1">
                  <c:v>58567103.822492257</c:v>
                </c:pt>
                <c:pt idx="2">
                  <c:v>77061978.713805586</c:v>
                </c:pt>
              </c:numCache>
            </c:numRef>
          </c:val>
          <c:extLst>
            <c:ext xmlns:c16="http://schemas.microsoft.com/office/drawing/2014/chart" uri="{C3380CC4-5D6E-409C-BE32-E72D297353CC}">
              <c16:uniqueId val="{00000000-AF7F-46C5-BBA0-5F72404754DB}"/>
            </c:ext>
          </c:extLst>
        </c:ser>
        <c:ser>
          <c:idx val="1"/>
          <c:order val="1"/>
          <c:tx>
            <c:strRef>
              <c:f>Future_Cost!$A$75</c:f>
              <c:strCache>
                <c:ptCount val="1"/>
                <c:pt idx="0">
                  <c:v>Near Earth Robotic - LEO Science</c:v>
                </c:pt>
              </c:strCache>
            </c:strRef>
          </c:tx>
          <c:spPr>
            <a:solidFill>
              <a:schemeClr val="accent2"/>
            </a:solidFill>
            <a:ln>
              <a:noFill/>
            </a:ln>
            <a:effectLst/>
          </c:spPr>
          <c:invertIfNegative val="0"/>
          <c:cat>
            <c:strRef>
              <c:f>Future_Cost!$M$18:$O$18</c:f>
              <c:strCache>
                <c:ptCount val="3"/>
                <c:pt idx="0">
                  <c:v>Low</c:v>
                </c:pt>
                <c:pt idx="1">
                  <c:v>Baseline</c:v>
                </c:pt>
                <c:pt idx="2">
                  <c:v>High</c:v>
                </c:pt>
              </c:strCache>
            </c:strRef>
          </c:cat>
          <c:val>
            <c:numRef>
              <c:f>Future_Cost!$M$75:$O$75</c:f>
              <c:numCache>
                <c:formatCode>_(* #,##0_);_(* \(#,##0\);_(* "-"??_);_(@_)</c:formatCode>
                <c:ptCount val="3"/>
                <c:pt idx="0">
                  <c:v>61649582.971044481</c:v>
                </c:pt>
                <c:pt idx="1">
                  <c:v>92474374.456566721</c:v>
                </c:pt>
                <c:pt idx="2">
                  <c:v>120216686.79353674</c:v>
                </c:pt>
              </c:numCache>
            </c:numRef>
          </c:val>
          <c:extLst>
            <c:ext xmlns:c16="http://schemas.microsoft.com/office/drawing/2014/chart" uri="{C3380CC4-5D6E-409C-BE32-E72D297353CC}">
              <c16:uniqueId val="{00000001-AF7F-46C5-BBA0-5F72404754DB}"/>
            </c:ext>
          </c:extLst>
        </c:ser>
        <c:ser>
          <c:idx val="2"/>
          <c:order val="2"/>
          <c:tx>
            <c:strRef>
              <c:f>Future_Cost!$A$76</c:f>
              <c:strCache>
                <c:ptCount val="1"/>
                <c:pt idx="0">
                  <c:v>Near Earth Robotic - GEO and Near Earth</c:v>
                </c:pt>
              </c:strCache>
            </c:strRef>
          </c:tx>
          <c:spPr>
            <a:solidFill>
              <a:schemeClr val="accent3"/>
            </a:solidFill>
            <a:ln>
              <a:noFill/>
            </a:ln>
            <a:effectLst/>
          </c:spPr>
          <c:invertIfNegative val="0"/>
          <c:cat>
            <c:strRef>
              <c:f>Future_Cost!$M$18:$O$18</c:f>
              <c:strCache>
                <c:ptCount val="3"/>
                <c:pt idx="0">
                  <c:v>Low</c:v>
                </c:pt>
                <c:pt idx="1">
                  <c:v>Baseline</c:v>
                </c:pt>
                <c:pt idx="2">
                  <c:v>High</c:v>
                </c:pt>
              </c:strCache>
            </c:strRef>
          </c:cat>
          <c:val>
            <c:numRef>
              <c:f>Future_Cost!$M$76:$O$76</c:f>
              <c:numCache>
                <c:formatCode>_(* #,##0_);_(* \(#,##0\);_(* "-"??_);_(@_)</c:formatCode>
                <c:ptCount val="3"/>
                <c:pt idx="0">
                  <c:v>9247437.4456566721</c:v>
                </c:pt>
                <c:pt idx="1">
                  <c:v>15412395.74276112</c:v>
                </c:pt>
                <c:pt idx="2">
                  <c:v>18494874.891313344</c:v>
                </c:pt>
              </c:numCache>
            </c:numRef>
          </c:val>
          <c:extLst>
            <c:ext xmlns:c16="http://schemas.microsoft.com/office/drawing/2014/chart" uri="{C3380CC4-5D6E-409C-BE32-E72D297353CC}">
              <c16:uniqueId val="{00000002-AF7F-46C5-BBA0-5F72404754DB}"/>
            </c:ext>
          </c:extLst>
        </c:ser>
        <c:ser>
          <c:idx val="3"/>
          <c:order val="3"/>
          <c:tx>
            <c:strRef>
              <c:f>Future_Cost!$A$77</c:f>
              <c:strCache>
                <c:ptCount val="1"/>
                <c:pt idx="0">
                  <c:v>Deep Space Robotic</c:v>
                </c:pt>
              </c:strCache>
            </c:strRef>
          </c:tx>
          <c:spPr>
            <a:solidFill>
              <a:schemeClr val="accent4"/>
            </a:solidFill>
            <a:ln>
              <a:noFill/>
            </a:ln>
            <a:effectLst/>
          </c:spPr>
          <c:invertIfNegative val="0"/>
          <c:cat>
            <c:strRef>
              <c:f>Future_Cost!$M$18:$O$18</c:f>
              <c:strCache>
                <c:ptCount val="3"/>
                <c:pt idx="0">
                  <c:v>Low</c:v>
                </c:pt>
                <c:pt idx="1">
                  <c:v>Baseline</c:v>
                </c:pt>
                <c:pt idx="2">
                  <c:v>High</c:v>
                </c:pt>
              </c:strCache>
            </c:strRef>
          </c:cat>
          <c:val>
            <c:numRef>
              <c:f>Future_Cost!$M$77:$O$77</c:f>
              <c:numCache>
                <c:formatCode>_(* #,##0_);_(* \(#,##0\);_(* "-"??_);_(@_)</c:formatCode>
                <c:ptCount val="3"/>
                <c:pt idx="0">
                  <c:v>3082479.148552224</c:v>
                </c:pt>
                <c:pt idx="1">
                  <c:v>3082479.148552224</c:v>
                </c:pt>
                <c:pt idx="2">
                  <c:v>6164958.2971044481</c:v>
                </c:pt>
              </c:numCache>
            </c:numRef>
          </c:val>
          <c:extLst>
            <c:ext xmlns:c16="http://schemas.microsoft.com/office/drawing/2014/chart" uri="{C3380CC4-5D6E-409C-BE32-E72D297353CC}">
              <c16:uniqueId val="{00000003-AF7F-46C5-BBA0-5F72404754DB}"/>
            </c:ext>
          </c:extLst>
        </c:ser>
        <c:ser>
          <c:idx val="4"/>
          <c:order val="4"/>
          <c:tx>
            <c:strRef>
              <c:f>Future_Cost!$A$78</c:f>
              <c:strCache>
                <c:ptCount val="1"/>
                <c:pt idx="0">
                  <c:v>Near Earth Robotic - Low Latency &amp; Complex Needs</c:v>
                </c:pt>
              </c:strCache>
            </c:strRef>
          </c:tx>
          <c:spPr>
            <a:solidFill>
              <a:schemeClr val="accent5"/>
            </a:solidFill>
            <a:ln>
              <a:noFill/>
            </a:ln>
            <a:effectLst/>
          </c:spPr>
          <c:invertIfNegative val="0"/>
          <c:cat>
            <c:strRef>
              <c:f>Future_Cost!$M$18:$O$18</c:f>
              <c:strCache>
                <c:ptCount val="3"/>
                <c:pt idx="0">
                  <c:v>Low</c:v>
                </c:pt>
                <c:pt idx="1">
                  <c:v>Baseline</c:v>
                </c:pt>
                <c:pt idx="2">
                  <c:v>High</c:v>
                </c:pt>
              </c:strCache>
            </c:strRef>
          </c:cat>
          <c:val>
            <c:numRef>
              <c:f>Future_Cost!$M$78:$O$78</c:f>
              <c:numCache>
                <c:formatCode>_(* #,##0_);_(* \(#,##0\);_(* "-"??_);_(@_)</c:formatCode>
                <c:ptCount val="3"/>
                <c:pt idx="0">
                  <c:v>6164958.2971044481</c:v>
                </c:pt>
                <c:pt idx="1">
                  <c:v>6164958.2971044481</c:v>
                </c:pt>
                <c:pt idx="2">
                  <c:v>9247437.4456566721</c:v>
                </c:pt>
              </c:numCache>
            </c:numRef>
          </c:val>
          <c:extLst>
            <c:ext xmlns:c16="http://schemas.microsoft.com/office/drawing/2014/chart" uri="{C3380CC4-5D6E-409C-BE32-E72D297353CC}">
              <c16:uniqueId val="{00000004-AF7F-46C5-BBA0-5F72404754DB}"/>
            </c:ext>
          </c:extLst>
        </c:ser>
        <c:ser>
          <c:idx val="5"/>
          <c:order val="5"/>
          <c:tx>
            <c:strRef>
              <c:f>Future_Cost!$A$79</c:f>
              <c:strCache>
                <c:ptCount val="1"/>
                <c:pt idx="0">
                  <c:v>Mission Operations</c:v>
                </c:pt>
              </c:strCache>
            </c:strRef>
          </c:tx>
          <c:spPr>
            <a:solidFill>
              <a:schemeClr val="accent6"/>
            </a:solidFill>
            <a:ln>
              <a:noFill/>
            </a:ln>
            <a:effectLst/>
          </c:spPr>
          <c:invertIfNegative val="0"/>
          <c:cat>
            <c:strRef>
              <c:f>Future_Cost!$M$18:$O$18</c:f>
              <c:strCache>
                <c:ptCount val="3"/>
                <c:pt idx="0">
                  <c:v>Low</c:v>
                </c:pt>
                <c:pt idx="1">
                  <c:v>Baseline</c:v>
                </c:pt>
                <c:pt idx="2">
                  <c:v>High</c:v>
                </c:pt>
              </c:strCache>
            </c:strRef>
          </c:cat>
          <c:val>
            <c:numRef>
              <c:f>Future_Cost!$M$79:$O$79</c:f>
              <c:numCache>
                <c:formatCode>_(* #,##0_);_(* \(#,##0\);_(* "-"??_);_(@_)</c:formatCode>
                <c:ptCount val="3"/>
                <c:pt idx="0">
                  <c:v>0</c:v>
                </c:pt>
                <c:pt idx="1">
                  <c:v>0</c:v>
                </c:pt>
                <c:pt idx="2">
                  <c:v>0</c:v>
                </c:pt>
              </c:numCache>
            </c:numRef>
          </c:val>
          <c:extLst>
            <c:ext xmlns:c16="http://schemas.microsoft.com/office/drawing/2014/chart" uri="{C3380CC4-5D6E-409C-BE32-E72D297353CC}">
              <c16:uniqueId val="{00000005-AF7F-46C5-BBA0-5F72404754DB}"/>
            </c:ext>
          </c:extLst>
        </c:ser>
        <c:ser>
          <c:idx val="6"/>
          <c:order val="6"/>
          <c:tx>
            <c:strRef>
              <c:f>Future_Cost!$A$80</c:f>
              <c:strCache>
                <c:ptCount val="1"/>
                <c:pt idx="0">
                  <c:v>Terrestrial &amp; Aerial</c:v>
                </c:pt>
              </c:strCache>
            </c:strRef>
          </c:tx>
          <c:spPr>
            <a:solidFill>
              <a:schemeClr val="accent1">
                <a:lumMod val="60000"/>
              </a:schemeClr>
            </a:solidFill>
            <a:ln>
              <a:noFill/>
            </a:ln>
            <a:effectLst/>
          </c:spPr>
          <c:invertIfNegative val="0"/>
          <c:cat>
            <c:strRef>
              <c:f>Future_Cost!$M$18:$O$18</c:f>
              <c:strCache>
                <c:ptCount val="3"/>
                <c:pt idx="0">
                  <c:v>Low</c:v>
                </c:pt>
                <c:pt idx="1">
                  <c:v>Baseline</c:v>
                </c:pt>
                <c:pt idx="2">
                  <c:v>High</c:v>
                </c:pt>
              </c:strCache>
            </c:strRef>
          </c:cat>
          <c:val>
            <c:numRef>
              <c:f>Future_Cost!$M$80:$O$80</c:f>
              <c:numCache>
                <c:formatCode>_(* #,##0_);_(* \(#,##0\);_(* "-"??_);_(@_)</c:formatCode>
                <c:ptCount val="3"/>
                <c:pt idx="0">
                  <c:v>36989749.782626688</c:v>
                </c:pt>
                <c:pt idx="1">
                  <c:v>55484624.673940033</c:v>
                </c:pt>
                <c:pt idx="2">
                  <c:v>70897020.416701153</c:v>
                </c:pt>
              </c:numCache>
            </c:numRef>
          </c:val>
          <c:extLst>
            <c:ext xmlns:c16="http://schemas.microsoft.com/office/drawing/2014/chart" uri="{C3380CC4-5D6E-409C-BE32-E72D297353CC}">
              <c16:uniqueId val="{00000006-AF7F-46C5-BBA0-5F72404754DB}"/>
            </c:ext>
          </c:extLst>
        </c:ser>
        <c:dLbls>
          <c:showLegendKey val="0"/>
          <c:showVal val="0"/>
          <c:showCatName val="0"/>
          <c:showSerName val="0"/>
          <c:showPercent val="0"/>
          <c:showBubbleSize val="0"/>
        </c:dLbls>
        <c:gapWidth val="150"/>
        <c:overlap val="100"/>
        <c:axId val="137607664"/>
        <c:axId val="292447984"/>
      </c:barChart>
      <c:catAx>
        <c:axId val="13760766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NASA Mission Projection Scenario</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2447984"/>
        <c:crosses val="autoZero"/>
        <c:auto val="1"/>
        <c:lblAlgn val="ctr"/>
        <c:lblOffset val="100"/>
        <c:noMultiLvlLbl val="0"/>
      </c:catAx>
      <c:valAx>
        <c:axId val="29244798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Current USD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607664"/>
        <c:crosses val="autoZero"/>
        <c:crossBetween val="between"/>
      </c:valAx>
      <c:spPr>
        <a:noFill/>
        <a:ln>
          <a:noFill/>
        </a:ln>
        <a:effectLst/>
      </c:spPr>
    </c:plotArea>
    <c:legend>
      <c:legendPos val="b"/>
      <c:layout>
        <c:manualLayout>
          <c:xMode val="edge"/>
          <c:yMode val="edge"/>
          <c:x val="4.5118163382714668E-2"/>
          <c:y val="0.81712453353338443"/>
          <c:w val="0.91471673487464633"/>
          <c:h val="0.17138423522680296"/>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Cost for all ADD and FDDN</a:t>
            </a:r>
            <a:r>
              <a:rPr lang="en-US" baseline="0"/>
              <a:t> services 2023-2027</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Future_Cost!$N$103</c:f>
              <c:strCache>
                <c:ptCount val="1"/>
                <c:pt idx="0">
                  <c:v>ADD Direct to Earth (DTE)</c:v>
                </c:pt>
              </c:strCache>
            </c:strRef>
          </c:tx>
          <c:spPr>
            <a:solidFill>
              <a:schemeClr val="accent1"/>
            </a:solidFill>
            <a:ln>
              <a:noFill/>
            </a:ln>
            <a:effectLst/>
          </c:spPr>
          <c:invertIfNegative val="0"/>
          <c:cat>
            <c:strRef>
              <c:f>Future_Cost!$O$102:$Q$102</c:f>
              <c:strCache>
                <c:ptCount val="3"/>
                <c:pt idx="0">
                  <c:v>Low</c:v>
                </c:pt>
                <c:pt idx="1">
                  <c:v>Baseline</c:v>
                </c:pt>
                <c:pt idx="2">
                  <c:v>High</c:v>
                </c:pt>
              </c:strCache>
            </c:strRef>
          </c:cat>
          <c:val>
            <c:numRef>
              <c:f>Future_Cost!$O$103:$Q$103</c:f>
              <c:numCache>
                <c:formatCode>_(* #,##0_);_(* \(#,##0\);_(* "-"??_);_(@_)</c:formatCode>
                <c:ptCount val="3"/>
                <c:pt idx="0">
                  <c:v>56640554.354647115</c:v>
                </c:pt>
                <c:pt idx="1">
                  <c:v>78603218.288081706</c:v>
                </c:pt>
                <c:pt idx="2">
                  <c:v>98254022.860102132</c:v>
                </c:pt>
              </c:numCache>
            </c:numRef>
          </c:val>
          <c:extLst>
            <c:ext xmlns:c16="http://schemas.microsoft.com/office/drawing/2014/chart" uri="{C3380CC4-5D6E-409C-BE32-E72D297353CC}">
              <c16:uniqueId val="{00000000-8C32-4FAE-B02D-750B3DEE499F}"/>
            </c:ext>
          </c:extLst>
        </c:ser>
        <c:ser>
          <c:idx val="1"/>
          <c:order val="1"/>
          <c:tx>
            <c:strRef>
              <c:f>Future_Cost!$N$104</c:f>
              <c:strCache>
                <c:ptCount val="1"/>
                <c:pt idx="0">
                  <c:v>ADD Space Relay (SR)</c:v>
                </c:pt>
              </c:strCache>
            </c:strRef>
          </c:tx>
          <c:spPr>
            <a:solidFill>
              <a:schemeClr val="accent2"/>
            </a:solidFill>
            <a:ln>
              <a:noFill/>
            </a:ln>
            <a:effectLst/>
          </c:spPr>
          <c:invertIfNegative val="0"/>
          <c:cat>
            <c:strRef>
              <c:f>Future_Cost!$O$102:$Q$102</c:f>
              <c:strCache>
                <c:ptCount val="3"/>
                <c:pt idx="0">
                  <c:v>Low</c:v>
                </c:pt>
                <c:pt idx="1">
                  <c:v>Baseline</c:v>
                </c:pt>
                <c:pt idx="2">
                  <c:v>High</c:v>
                </c:pt>
              </c:strCache>
            </c:strRef>
          </c:cat>
          <c:val>
            <c:numRef>
              <c:f>Future_Cost!$O$104:$Q$104</c:f>
              <c:numCache>
                <c:formatCode>_(* #,##0_);_(* \(#,##0\);_(* "-"??_);_(@_)</c:formatCode>
                <c:ptCount val="3"/>
                <c:pt idx="0">
                  <c:v>992428997.66557205</c:v>
                </c:pt>
                <c:pt idx="1">
                  <c:v>1356994751.9100678</c:v>
                </c:pt>
                <c:pt idx="2">
                  <c:v>1721560506.1545639</c:v>
                </c:pt>
              </c:numCache>
            </c:numRef>
          </c:val>
          <c:extLst>
            <c:ext xmlns:c16="http://schemas.microsoft.com/office/drawing/2014/chart" uri="{C3380CC4-5D6E-409C-BE32-E72D297353CC}">
              <c16:uniqueId val="{00000001-8C32-4FAE-B02D-750B3DEE499F}"/>
            </c:ext>
          </c:extLst>
        </c:ser>
        <c:ser>
          <c:idx val="2"/>
          <c:order val="2"/>
          <c:tx>
            <c:strRef>
              <c:f>Future_Cost!$N$105</c:f>
              <c:strCache>
                <c:ptCount val="1"/>
                <c:pt idx="0">
                  <c:v>ADD Launch Events (LE)</c:v>
                </c:pt>
              </c:strCache>
            </c:strRef>
          </c:tx>
          <c:spPr>
            <a:solidFill>
              <a:schemeClr val="accent3"/>
            </a:solidFill>
            <a:ln>
              <a:noFill/>
            </a:ln>
            <a:effectLst/>
          </c:spPr>
          <c:invertIfNegative val="0"/>
          <c:cat>
            <c:strRef>
              <c:f>Future_Cost!$O$102:$Q$102</c:f>
              <c:strCache>
                <c:ptCount val="3"/>
                <c:pt idx="0">
                  <c:v>Low</c:v>
                </c:pt>
                <c:pt idx="1">
                  <c:v>Baseline</c:v>
                </c:pt>
                <c:pt idx="2">
                  <c:v>High</c:v>
                </c:pt>
              </c:strCache>
            </c:strRef>
          </c:cat>
          <c:val>
            <c:numRef>
              <c:f>Future_Cost!$O$105:$Q$105</c:f>
              <c:numCache>
                <c:formatCode>_(* #,##0_);_(* \(#,##0\);_(* "-"??_);_(@_)</c:formatCode>
                <c:ptCount val="3"/>
                <c:pt idx="0">
                  <c:v>405073060.271662</c:v>
                </c:pt>
                <c:pt idx="1">
                  <c:v>648116896.43465924</c:v>
                </c:pt>
                <c:pt idx="2">
                  <c:v>911414385.61123955</c:v>
                </c:pt>
              </c:numCache>
            </c:numRef>
          </c:val>
          <c:extLst>
            <c:ext xmlns:c16="http://schemas.microsoft.com/office/drawing/2014/chart" uri="{C3380CC4-5D6E-409C-BE32-E72D297353CC}">
              <c16:uniqueId val="{00000002-8C32-4FAE-B02D-750B3DEE499F}"/>
            </c:ext>
          </c:extLst>
        </c:ser>
        <c:ser>
          <c:idx val="3"/>
          <c:order val="3"/>
          <c:tx>
            <c:strRef>
              <c:f>Future_Cost!$N$106</c:f>
              <c:strCache>
                <c:ptCount val="1"/>
                <c:pt idx="0">
                  <c:v>FDDN Direct to Earth (DTE)</c:v>
                </c:pt>
              </c:strCache>
            </c:strRef>
          </c:tx>
          <c:spPr>
            <a:solidFill>
              <a:schemeClr val="accent4"/>
            </a:solidFill>
            <a:ln>
              <a:noFill/>
            </a:ln>
            <a:effectLst/>
          </c:spPr>
          <c:invertIfNegative val="0"/>
          <c:cat>
            <c:strRef>
              <c:f>Future_Cost!$O$102:$Q$102</c:f>
              <c:strCache>
                <c:ptCount val="3"/>
                <c:pt idx="0">
                  <c:v>Low</c:v>
                </c:pt>
                <c:pt idx="1">
                  <c:v>Baseline</c:v>
                </c:pt>
                <c:pt idx="2">
                  <c:v>High</c:v>
                </c:pt>
              </c:strCache>
            </c:strRef>
          </c:cat>
          <c:val>
            <c:numRef>
              <c:f>Future_Cost!$O$106:$Q$106</c:f>
              <c:numCache>
                <c:formatCode>_(* #,##0_);_(* \(#,##0\);_(* "-"??_);_(@_)</c:formatCode>
                <c:ptCount val="3"/>
                <c:pt idx="0">
                  <c:v>46237187.228283361</c:v>
                </c:pt>
                <c:pt idx="1">
                  <c:v>67043921.481010869</c:v>
                </c:pt>
                <c:pt idx="2">
                  <c:v>87850655.733738378</c:v>
                </c:pt>
              </c:numCache>
            </c:numRef>
          </c:val>
          <c:extLst>
            <c:ext xmlns:c16="http://schemas.microsoft.com/office/drawing/2014/chart" uri="{C3380CC4-5D6E-409C-BE32-E72D297353CC}">
              <c16:uniqueId val="{00000003-8C32-4FAE-B02D-750B3DEE499F}"/>
            </c:ext>
          </c:extLst>
        </c:ser>
        <c:ser>
          <c:idx val="4"/>
          <c:order val="4"/>
          <c:tx>
            <c:strRef>
              <c:f>Future_Cost!$N$107</c:f>
              <c:strCache>
                <c:ptCount val="1"/>
                <c:pt idx="0">
                  <c:v>FDDN Space Relay (SR)</c:v>
                </c:pt>
              </c:strCache>
            </c:strRef>
          </c:tx>
          <c:spPr>
            <a:solidFill>
              <a:schemeClr val="accent5"/>
            </a:solidFill>
            <a:ln>
              <a:noFill/>
            </a:ln>
            <a:effectLst/>
          </c:spPr>
          <c:invertIfNegative val="0"/>
          <c:cat>
            <c:strRef>
              <c:f>Future_Cost!$O$102:$Q$102</c:f>
              <c:strCache>
                <c:ptCount val="3"/>
                <c:pt idx="0">
                  <c:v>Low</c:v>
                </c:pt>
                <c:pt idx="1">
                  <c:v>Baseline</c:v>
                </c:pt>
                <c:pt idx="2">
                  <c:v>High</c:v>
                </c:pt>
              </c:strCache>
            </c:strRef>
          </c:cat>
          <c:val>
            <c:numRef>
              <c:f>Future_Cost!$O$107:$Q$107</c:f>
              <c:numCache>
                <c:formatCode>_(* #,##0_);_(* \(#,##0\);_(* "-"??_);_(@_)</c:formatCode>
                <c:ptCount val="3"/>
                <c:pt idx="0">
                  <c:v>157206436.57616341</c:v>
                </c:pt>
                <c:pt idx="1">
                  <c:v>231185936.14141685</c:v>
                </c:pt>
                <c:pt idx="2">
                  <c:v>302082956.55811793</c:v>
                </c:pt>
              </c:numCache>
            </c:numRef>
          </c:val>
          <c:extLst>
            <c:ext xmlns:c16="http://schemas.microsoft.com/office/drawing/2014/chart" uri="{C3380CC4-5D6E-409C-BE32-E72D297353CC}">
              <c16:uniqueId val="{00000004-8C32-4FAE-B02D-750B3DEE499F}"/>
            </c:ext>
          </c:extLst>
        </c:ser>
        <c:dLbls>
          <c:showLegendKey val="0"/>
          <c:showVal val="0"/>
          <c:showCatName val="0"/>
          <c:showSerName val="0"/>
          <c:showPercent val="0"/>
          <c:showBubbleSize val="0"/>
        </c:dLbls>
        <c:gapWidth val="150"/>
        <c:overlap val="100"/>
        <c:axId val="138945104"/>
        <c:axId val="138946352"/>
      </c:barChart>
      <c:catAx>
        <c:axId val="13894510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NASA Mission Projection Scenario</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946352"/>
        <c:crosses val="autoZero"/>
        <c:auto val="1"/>
        <c:lblAlgn val="ctr"/>
        <c:lblOffset val="100"/>
        <c:noMultiLvlLbl val="0"/>
      </c:catAx>
      <c:valAx>
        <c:axId val="13894635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50" b="0" i="0" baseline="0">
                    <a:effectLst/>
                  </a:rPr>
                  <a:t>Current USD</a:t>
                </a:r>
                <a:endParaRPr lang="en-US" sz="5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945104"/>
        <c:crosses val="autoZero"/>
        <c:crossBetween val="between"/>
      </c:valAx>
      <c:spPr>
        <a:noFill/>
        <a:ln>
          <a:noFill/>
        </a:ln>
        <a:effectLst/>
      </c:spPr>
    </c:plotArea>
    <c:legend>
      <c:legendPos val="b"/>
      <c:layout>
        <c:manualLayout>
          <c:xMode val="edge"/>
          <c:yMode val="edge"/>
          <c:x val="0.18425294659006902"/>
          <c:y val="0.82291557305336838"/>
          <c:w val="0.76561822653079359"/>
          <c:h val="0.1493066491688538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Lifespans (Low)</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5.0659403679267169E-2"/>
          <c:y val="0.10605799289048519"/>
          <c:w val="0.90681643970940506"/>
          <c:h val="0.63030185267075134"/>
        </c:manualLayout>
      </c:layout>
      <c:areaChart>
        <c:grouping val="stacked"/>
        <c:varyColors val="0"/>
        <c:ser>
          <c:idx val="0"/>
          <c:order val="0"/>
          <c:tx>
            <c:strRef>
              <c:f>lifespans_all!$B$61</c:f>
              <c:strCache>
                <c:ptCount val="1"/>
                <c:pt idx="0">
                  <c:v>Human Space Flight</c:v>
                </c:pt>
              </c:strCache>
            </c:strRef>
          </c:tx>
          <c:spPr>
            <a:solidFill>
              <a:schemeClr val="accent1"/>
            </a:solidFill>
            <a:ln>
              <a:noFill/>
            </a:ln>
            <a:effectLst/>
          </c:spPr>
          <c:cat>
            <c:numRef>
              <c:f>lifespans_all!$C$60:$L$60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lifespans_all!$C$61:$L$61</c:f>
              <c:numCache>
                <c:formatCode>0</c:formatCode>
                <c:ptCount val="10"/>
                <c:pt idx="0">
                  <c:v>5.5</c:v>
                </c:pt>
                <c:pt idx="1">
                  <c:v>5</c:v>
                </c:pt>
                <c:pt idx="2">
                  <c:v>4.5</c:v>
                </c:pt>
                <c:pt idx="3">
                  <c:v>4</c:v>
                </c:pt>
                <c:pt idx="4">
                  <c:v>3.5</c:v>
                </c:pt>
                <c:pt idx="5">
                  <c:v>3</c:v>
                </c:pt>
                <c:pt idx="6">
                  <c:v>2.5</c:v>
                </c:pt>
                <c:pt idx="7">
                  <c:v>2</c:v>
                </c:pt>
                <c:pt idx="8">
                  <c:v>1.5</c:v>
                </c:pt>
                <c:pt idx="9">
                  <c:v>1</c:v>
                </c:pt>
              </c:numCache>
            </c:numRef>
          </c:val>
          <c:extLst>
            <c:ext xmlns:c16="http://schemas.microsoft.com/office/drawing/2014/chart" uri="{C3380CC4-5D6E-409C-BE32-E72D297353CC}">
              <c16:uniqueId val="{00000000-8718-41DC-80C4-A5E6D6C7CEEC}"/>
            </c:ext>
          </c:extLst>
        </c:ser>
        <c:ser>
          <c:idx val="1"/>
          <c:order val="1"/>
          <c:tx>
            <c:strRef>
              <c:f>lifespans_all!$B$62</c:f>
              <c:strCache>
                <c:ptCount val="1"/>
                <c:pt idx="0">
                  <c:v>Near Earth Robotic - LEO Science</c:v>
                </c:pt>
              </c:strCache>
            </c:strRef>
          </c:tx>
          <c:spPr>
            <a:solidFill>
              <a:schemeClr val="accent2"/>
            </a:solidFill>
            <a:ln>
              <a:noFill/>
            </a:ln>
            <a:effectLst/>
          </c:spPr>
          <c:cat>
            <c:numRef>
              <c:f>lifespans_all!$C$60:$L$60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lifespans_all!$C$62:$L$62</c:f>
              <c:numCache>
                <c:formatCode>0</c:formatCode>
                <c:ptCount val="10"/>
                <c:pt idx="0">
                  <c:v>16.7</c:v>
                </c:pt>
                <c:pt idx="1">
                  <c:v>16.399999999999999</c:v>
                </c:pt>
                <c:pt idx="2">
                  <c:v>16.100000000000001</c:v>
                </c:pt>
                <c:pt idx="3">
                  <c:v>15.8</c:v>
                </c:pt>
                <c:pt idx="4">
                  <c:v>15.5</c:v>
                </c:pt>
                <c:pt idx="5">
                  <c:v>15.2</c:v>
                </c:pt>
                <c:pt idx="6">
                  <c:v>14.9</c:v>
                </c:pt>
                <c:pt idx="7">
                  <c:v>14.6</c:v>
                </c:pt>
                <c:pt idx="8">
                  <c:v>14.3</c:v>
                </c:pt>
                <c:pt idx="9">
                  <c:v>14</c:v>
                </c:pt>
              </c:numCache>
            </c:numRef>
          </c:val>
          <c:extLst>
            <c:ext xmlns:c16="http://schemas.microsoft.com/office/drawing/2014/chart" uri="{C3380CC4-5D6E-409C-BE32-E72D297353CC}">
              <c16:uniqueId val="{00000001-8718-41DC-80C4-A5E6D6C7CEEC}"/>
            </c:ext>
          </c:extLst>
        </c:ser>
        <c:ser>
          <c:idx val="2"/>
          <c:order val="2"/>
          <c:tx>
            <c:strRef>
              <c:f>lifespans_all!$B$63</c:f>
              <c:strCache>
                <c:ptCount val="1"/>
                <c:pt idx="0">
                  <c:v>Near Earth Robotic - GEO and Near Earth</c:v>
                </c:pt>
              </c:strCache>
            </c:strRef>
          </c:tx>
          <c:spPr>
            <a:solidFill>
              <a:schemeClr val="accent3"/>
            </a:solidFill>
            <a:ln>
              <a:noFill/>
            </a:ln>
            <a:effectLst/>
          </c:spPr>
          <c:cat>
            <c:numRef>
              <c:f>lifespans_all!$C$60:$L$60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lifespans_all!$C$63:$L$63</c:f>
              <c:numCache>
                <c:formatCode>0</c:formatCode>
                <c:ptCount val="10"/>
                <c:pt idx="0">
                  <c:v>7.9</c:v>
                </c:pt>
                <c:pt idx="1">
                  <c:v>7.8</c:v>
                </c:pt>
                <c:pt idx="2">
                  <c:v>7.7</c:v>
                </c:pt>
                <c:pt idx="3">
                  <c:v>7.6</c:v>
                </c:pt>
                <c:pt idx="4">
                  <c:v>7.5</c:v>
                </c:pt>
                <c:pt idx="5">
                  <c:v>7.4</c:v>
                </c:pt>
                <c:pt idx="6">
                  <c:v>7.3</c:v>
                </c:pt>
                <c:pt idx="7">
                  <c:v>7.2</c:v>
                </c:pt>
                <c:pt idx="8">
                  <c:v>7.1</c:v>
                </c:pt>
                <c:pt idx="9">
                  <c:v>7</c:v>
                </c:pt>
              </c:numCache>
            </c:numRef>
          </c:val>
          <c:extLst>
            <c:ext xmlns:c16="http://schemas.microsoft.com/office/drawing/2014/chart" uri="{C3380CC4-5D6E-409C-BE32-E72D297353CC}">
              <c16:uniqueId val="{00000002-8718-41DC-80C4-A5E6D6C7CEEC}"/>
            </c:ext>
          </c:extLst>
        </c:ser>
        <c:ser>
          <c:idx val="3"/>
          <c:order val="3"/>
          <c:tx>
            <c:strRef>
              <c:f>lifespans_all!$B$64</c:f>
              <c:strCache>
                <c:ptCount val="1"/>
                <c:pt idx="0">
                  <c:v>Deep Space Robotic</c:v>
                </c:pt>
              </c:strCache>
            </c:strRef>
          </c:tx>
          <c:spPr>
            <a:solidFill>
              <a:schemeClr val="accent4"/>
            </a:solidFill>
            <a:ln w="25400">
              <a:noFill/>
            </a:ln>
            <a:effectLst/>
          </c:spPr>
          <c:cat>
            <c:numRef>
              <c:f>lifespans_all!$C$60:$L$60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lifespans_all!$C$64:$L$64</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8718-41DC-80C4-A5E6D6C7CEEC}"/>
            </c:ext>
          </c:extLst>
        </c:ser>
        <c:ser>
          <c:idx val="4"/>
          <c:order val="4"/>
          <c:tx>
            <c:strRef>
              <c:f>lifespans_all!$B$65</c:f>
              <c:strCache>
                <c:ptCount val="1"/>
                <c:pt idx="0">
                  <c:v>Near Earth Robotic - Low Latency &amp; Complex Needs</c:v>
                </c:pt>
              </c:strCache>
            </c:strRef>
          </c:tx>
          <c:spPr>
            <a:solidFill>
              <a:schemeClr val="accent5"/>
            </a:solidFill>
            <a:ln w="25400">
              <a:noFill/>
            </a:ln>
            <a:effectLst/>
          </c:spPr>
          <c:cat>
            <c:numRef>
              <c:f>lifespans_all!$C$60:$L$60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lifespans_all!$C$65:$L$65</c:f>
              <c:numCache>
                <c:formatCode>0</c:formatCode>
                <c:ptCount val="10"/>
                <c:pt idx="0">
                  <c:v>0.9</c:v>
                </c:pt>
                <c:pt idx="1">
                  <c:v>0.8</c:v>
                </c:pt>
                <c:pt idx="2">
                  <c:v>0.7</c:v>
                </c:pt>
                <c:pt idx="3">
                  <c:v>0.6</c:v>
                </c:pt>
                <c:pt idx="4">
                  <c:v>0.5</c:v>
                </c:pt>
                <c:pt idx="5">
                  <c:v>0.4</c:v>
                </c:pt>
                <c:pt idx="6">
                  <c:v>0.30000000000000004</c:v>
                </c:pt>
                <c:pt idx="7">
                  <c:v>0.20000000000000007</c:v>
                </c:pt>
                <c:pt idx="8">
                  <c:v>0.10000000000000009</c:v>
                </c:pt>
                <c:pt idx="9">
                  <c:v>0</c:v>
                </c:pt>
              </c:numCache>
            </c:numRef>
          </c:val>
          <c:extLst>
            <c:ext xmlns:c16="http://schemas.microsoft.com/office/drawing/2014/chart" uri="{C3380CC4-5D6E-409C-BE32-E72D297353CC}">
              <c16:uniqueId val="{00000005-8718-41DC-80C4-A5E6D6C7CEEC}"/>
            </c:ext>
          </c:extLst>
        </c:ser>
        <c:ser>
          <c:idx val="5"/>
          <c:order val="5"/>
          <c:tx>
            <c:strRef>
              <c:f>lifespans_all!$B$66</c:f>
              <c:strCache>
                <c:ptCount val="1"/>
                <c:pt idx="0">
                  <c:v>Mission Operations</c:v>
                </c:pt>
              </c:strCache>
            </c:strRef>
          </c:tx>
          <c:spPr>
            <a:solidFill>
              <a:schemeClr val="accent6"/>
            </a:solidFill>
            <a:ln w="25400">
              <a:noFill/>
            </a:ln>
            <a:effectLst/>
          </c:spPr>
          <c:cat>
            <c:numRef>
              <c:f>lifespans_all!$C$60:$L$60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lifespans_all!$C$66:$L$66</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6-8718-41DC-80C4-A5E6D6C7CEEC}"/>
            </c:ext>
          </c:extLst>
        </c:ser>
        <c:ser>
          <c:idx val="6"/>
          <c:order val="6"/>
          <c:tx>
            <c:strRef>
              <c:f>lifespans_all!$B$67</c:f>
              <c:strCache>
                <c:ptCount val="1"/>
                <c:pt idx="0">
                  <c:v>Launch Events</c:v>
                </c:pt>
              </c:strCache>
            </c:strRef>
          </c:tx>
          <c:spPr>
            <a:solidFill>
              <a:schemeClr val="accent1">
                <a:lumMod val="60000"/>
              </a:schemeClr>
            </a:solidFill>
            <a:ln w="25400">
              <a:noFill/>
            </a:ln>
            <a:effectLst/>
          </c:spPr>
          <c:cat>
            <c:numRef>
              <c:f>lifespans_all!$C$60:$L$60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lifespans_all!$C$67:$L$67</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7-8718-41DC-80C4-A5E6D6C7CEEC}"/>
            </c:ext>
          </c:extLst>
        </c:ser>
        <c:ser>
          <c:idx val="7"/>
          <c:order val="7"/>
          <c:tx>
            <c:strRef>
              <c:f>lifespans_all!$B$68</c:f>
              <c:strCache>
                <c:ptCount val="1"/>
                <c:pt idx="0">
                  <c:v>Terrestrial &amp; Aerial</c:v>
                </c:pt>
              </c:strCache>
            </c:strRef>
          </c:tx>
          <c:spPr>
            <a:solidFill>
              <a:schemeClr val="accent2">
                <a:lumMod val="60000"/>
              </a:schemeClr>
            </a:solidFill>
            <a:ln w="25400">
              <a:noFill/>
            </a:ln>
            <a:effectLst/>
          </c:spPr>
          <c:cat>
            <c:numRef>
              <c:f>lifespans_all!$C$60:$L$60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lifespans_all!$C$68:$L$68</c:f>
              <c:numCache>
                <c:formatCode>0</c:formatCode>
                <c:ptCount val="10"/>
                <c:pt idx="0">
                  <c:v>2.7</c:v>
                </c:pt>
                <c:pt idx="1">
                  <c:v>2.4</c:v>
                </c:pt>
                <c:pt idx="2">
                  <c:v>2.1</c:v>
                </c:pt>
                <c:pt idx="3">
                  <c:v>1.8</c:v>
                </c:pt>
                <c:pt idx="4">
                  <c:v>1.5</c:v>
                </c:pt>
                <c:pt idx="5">
                  <c:v>1.2</c:v>
                </c:pt>
                <c:pt idx="6">
                  <c:v>0.89999999999999991</c:v>
                </c:pt>
                <c:pt idx="7">
                  <c:v>0.60000000000000009</c:v>
                </c:pt>
                <c:pt idx="8">
                  <c:v>0.30000000000000027</c:v>
                </c:pt>
                <c:pt idx="9">
                  <c:v>4.4408920985006262E-16</c:v>
                </c:pt>
              </c:numCache>
            </c:numRef>
          </c:val>
          <c:extLst>
            <c:ext xmlns:c16="http://schemas.microsoft.com/office/drawing/2014/chart" uri="{C3380CC4-5D6E-409C-BE32-E72D297353CC}">
              <c16:uniqueId val="{00000008-8718-41DC-80C4-A5E6D6C7CEEC}"/>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Lifespans (Baseline)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5.0659403679267169E-2"/>
          <c:y val="0.10605799289048519"/>
          <c:w val="0.90681643970940506"/>
          <c:h val="0.63030185267075134"/>
        </c:manualLayout>
      </c:layout>
      <c:areaChart>
        <c:grouping val="stacked"/>
        <c:varyColors val="0"/>
        <c:ser>
          <c:idx val="0"/>
          <c:order val="0"/>
          <c:tx>
            <c:strRef>
              <c:f>lifespans_all!$B$139</c:f>
              <c:strCache>
                <c:ptCount val="1"/>
                <c:pt idx="0">
                  <c:v>Human Space Flight</c:v>
                </c:pt>
              </c:strCache>
            </c:strRef>
          </c:tx>
          <c:spPr>
            <a:solidFill>
              <a:schemeClr val="accent1"/>
            </a:solidFill>
            <a:ln>
              <a:noFill/>
            </a:ln>
            <a:effectLst/>
          </c:spPr>
          <c:cat>
            <c:numRef>
              <c:f>lifespans_all!$C$138:$L$138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lifespans_all!$C$139:$L$139</c:f>
              <c:numCache>
                <c:formatCode>0</c:formatCode>
                <c:ptCount val="10"/>
                <c:pt idx="0">
                  <c:v>5.5</c:v>
                </c:pt>
                <c:pt idx="1">
                  <c:v>5</c:v>
                </c:pt>
                <c:pt idx="2">
                  <c:v>4.5</c:v>
                </c:pt>
                <c:pt idx="3">
                  <c:v>4</c:v>
                </c:pt>
                <c:pt idx="4">
                  <c:v>3.5</c:v>
                </c:pt>
                <c:pt idx="5">
                  <c:v>3</c:v>
                </c:pt>
                <c:pt idx="6">
                  <c:v>2.5</c:v>
                </c:pt>
                <c:pt idx="7">
                  <c:v>2</c:v>
                </c:pt>
                <c:pt idx="8">
                  <c:v>1.5</c:v>
                </c:pt>
                <c:pt idx="9">
                  <c:v>1</c:v>
                </c:pt>
              </c:numCache>
            </c:numRef>
          </c:val>
          <c:extLst>
            <c:ext xmlns:c16="http://schemas.microsoft.com/office/drawing/2014/chart" uri="{C3380CC4-5D6E-409C-BE32-E72D297353CC}">
              <c16:uniqueId val="{00000000-A1F5-43C4-8638-9FF0FCC03818}"/>
            </c:ext>
          </c:extLst>
        </c:ser>
        <c:ser>
          <c:idx val="1"/>
          <c:order val="1"/>
          <c:tx>
            <c:strRef>
              <c:f>lifespans_all!$B$140</c:f>
              <c:strCache>
                <c:ptCount val="1"/>
                <c:pt idx="0">
                  <c:v>Near Earth Robotic - LEO Science</c:v>
                </c:pt>
              </c:strCache>
            </c:strRef>
          </c:tx>
          <c:spPr>
            <a:solidFill>
              <a:schemeClr val="accent2"/>
            </a:solidFill>
            <a:ln>
              <a:noFill/>
            </a:ln>
            <a:effectLst/>
          </c:spPr>
          <c:cat>
            <c:numRef>
              <c:f>lifespans_all!$C$138:$L$138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lifespans_all!$C$140:$L$140</c:f>
              <c:numCache>
                <c:formatCode>0</c:formatCode>
                <c:ptCount val="10"/>
                <c:pt idx="0">
                  <c:v>16.899999999999999</c:v>
                </c:pt>
                <c:pt idx="1">
                  <c:v>16.8</c:v>
                </c:pt>
                <c:pt idx="2">
                  <c:v>16.7</c:v>
                </c:pt>
                <c:pt idx="3">
                  <c:v>16.600000000000001</c:v>
                </c:pt>
                <c:pt idx="4">
                  <c:v>16.5</c:v>
                </c:pt>
                <c:pt idx="5">
                  <c:v>16.399999999999999</c:v>
                </c:pt>
                <c:pt idx="6">
                  <c:v>16.3</c:v>
                </c:pt>
                <c:pt idx="7">
                  <c:v>16.2</c:v>
                </c:pt>
                <c:pt idx="8">
                  <c:v>16.100000000000001</c:v>
                </c:pt>
                <c:pt idx="9">
                  <c:v>16</c:v>
                </c:pt>
              </c:numCache>
            </c:numRef>
          </c:val>
          <c:extLst>
            <c:ext xmlns:c16="http://schemas.microsoft.com/office/drawing/2014/chart" uri="{C3380CC4-5D6E-409C-BE32-E72D297353CC}">
              <c16:uniqueId val="{00000001-A1F5-43C4-8638-9FF0FCC03818}"/>
            </c:ext>
          </c:extLst>
        </c:ser>
        <c:ser>
          <c:idx val="2"/>
          <c:order val="2"/>
          <c:tx>
            <c:strRef>
              <c:f>lifespans_all!$B$141</c:f>
              <c:strCache>
                <c:ptCount val="1"/>
                <c:pt idx="0">
                  <c:v>Near Earth Robotic - GEO and Near Earth</c:v>
                </c:pt>
              </c:strCache>
            </c:strRef>
          </c:tx>
          <c:spPr>
            <a:solidFill>
              <a:schemeClr val="accent3"/>
            </a:solidFill>
            <a:ln>
              <a:noFill/>
            </a:ln>
            <a:effectLst/>
          </c:spPr>
          <c:cat>
            <c:numRef>
              <c:f>lifespans_all!$C$138:$L$138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lifespans_all!$C$141:$L$141</c:f>
              <c:numCache>
                <c:formatCode>0</c:formatCode>
                <c:ptCount val="10"/>
                <c:pt idx="0">
                  <c:v>7.9</c:v>
                </c:pt>
                <c:pt idx="1">
                  <c:v>7.8</c:v>
                </c:pt>
                <c:pt idx="2">
                  <c:v>7.7</c:v>
                </c:pt>
                <c:pt idx="3">
                  <c:v>7.6</c:v>
                </c:pt>
                <c:pt idx="4">
                  <c:v>7.5</c:v>
                </c:pt>
                <c:pt idx="5">
                  <c:v>7.4</c:v>
                </c:pt>
                <c:pt idx="6">
                  <c:v>7.3</c:v>
                </c:pt>
                <c:pt idx="7">
                  <c:v>7.2</c:v>
                </c:pt>
                <c:pt idx="8">
                  <c:v>7.1</c:v>
                </c:pt>
                <c:pt idx="9">
                  <c:v>7</c:v>
                </c:pt>
              </c:numCache>
            </c:numRef>
          </c:val>
          <c:extLst>
            <c:ext xmlns:c16="http://schemas.microsoft.com/office/drawing/2014/chart" uri="{C3380CC4-5D6E-409C-BE32-E72D297353CC}">
              <c16:uniqueId val="{00000002-A1F5-43C4-8638-9FF0FCC03818}"/>
            </c:ext>
          </c:extLst>
        </c:ser>
        <c:ser>
          <c:idx val="3"/>
          <c:order val="3"/>
          <c:tx>
            <c:strRef>
              <c:f>lifespans_all!$B$142</c:f>
              <c:strCache>
                <c:ptCount val="1"/>
                <c:pt idx="0">
                  <c:v>Deep Space Robotic</c:v>
                </c:pt>
              </c:strCache>
            </c:strRef>
          </c:tx>
          <c:spPr>
            <a:solidFill>
              <a:schemeClr val="accent4"/>
            </a:solidFill>
            <a:ln w="25400">
              <a:noFill/>
            </a:ln>
            <a:effectLst/>
          </c:spPr>
          <c:cat>
            <c:numRef>
              <c:f>lifespans_all!$C$138:$L$138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lifespans_all!$C$142:$L$142</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A1F5-43C4-8638-9FF0FCC03818}"/>
            </c:ext>
          </c:extLst>
        </c:ser>
        <c:ser>
          <c:idx val="4"/>
          <c:order val="4"/>
          <c:tx>
            <c:strRef>
              <c:f>lifespans_all!$B$143</c:f>
              <c:strCache>
                <c:ptCount val="1"/>
                <c:pt idx="0">
                  <c:v>Near Earth Robotic - Low Latency &amp; Complex Needs</c:v>
                </c:pt>
              </c:strCache>
            </c:strRef>
          </c:tx>
          <c:spPr>
            <a:solidFill>
              <a:schemeClr val="accent5"/>
            </a:solidFill>
            <a:ln w="25400">
              <a:noFill/>
            </a:ln>
            <a:effectLst/>
          </c:spPr>
          <c:cat>
            <c:numRef>
              <c:f>lifespans_all!$C$138:$L$138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lifespans_all!$C$143:$L$143</c:f>
              <c:numCache>
                <c:formatCode>0</c:formatCode>
                <c:ptCount val="10"/>
                <c:pt idx="0">
                  <c:v>0.9</c:v>
                </c:pt>
                <c:pt idx="1">
                  <c:v>0.8</c:v>
                </c:pt>
                <c:pt idx="2">
                  <c:v>0.7</c:v>
                </c:pt>
                <c:pt idx="3">
                  <c:v>0.6</c:v>
                </c:pt>
                <c:pt idx="4">
                  <c:v>0.5</c:v>
                </c:pt>
                <c:pt idx="5">
                  <c:v>0.4</c:v>
                </c:pt>
                <c:pt idx="6">
                  <c:v>0.30000000000000004</c:v>
                </c:pt>
                <c:pt idx="7">
                  <c:v>0.20000000000000007</c:v>
                </c:pt>
                <c:pt idx="8">
                  <c:v>0.10000000000000009</c:v>
                </c:pt>
                <c:pt idx="9">
                  <c:v>0</c:v>
                </c:pt>
              </c:numCache>
            </c:numRef>
          </c:val>
          <c:extLst>
            <c:ext xmlns:c16="http://schemas.microsoft.com/office/drawing/2014/chart" uri="{C3380CC4-5D6E-409C-BE32-E72D297353CC}">
              <c16:uniqueId val="{00000004-A1F5-43C4-8638-9FF0FCC03818}"/>
            </c:ext>
          </c:extLst>
        </c:ser>
        <c:ser>
          <c:idx val="5"/>
          <c:order val="5"/>
          <c:tx>
            <c:strRef>
              <c:f>lifespans_all!$B$144</c:f>
              <c:strCache>
                <c:ptCount val="1"/>
                <c:pt idx="0">
                  <c:v>Mission Operations</c:v>
                </c:pt>
              </c:strCache>
            </c:strRef>
          </c:tx>
          <c:spPr>
            <a:solidFill>
              <a:schemeClr val="accent6"/>
            </a:solidFill>
            <a:ln w="25400">
              <a:noFill/>
            </a:ln>
            <a:effectLst/>
          </c:spPr>
          <c:cat>
            <c:numRef>
              <c:f>lifespans_all!$C$138:$L$138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lifespans_all!$C$144:$L$144</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A1F5-43C4-8638-9FF0FCC03818}"/>
            </c:ext>
          </c:extLst>
        </c:ser>
        <c:ser>
          <c:idx val="6"/>
          <c:order val="6"/>
          <c:tx>
            <c:strRef>
              <c:f>lifespans_all!$B$145</c:f>
              <c:strCache>
                <c:ptCount val="1"/>
                <c:pt idx="0">
                  <c:v>Launch Events</c:v>
                </c:pt>
              </c:strCache>
            </c:strRef>
          </c:tx>
          <c:spPr>
            <a:solidFill>
              <a:schemeClr val="accent1">
                <a:lumMod val="60000"/>
              </a:schemeClr>
            </a:solidFill>
            <a:ln w="25400">
              <a:noFill/>
            </a:ln>
            <a:effectLst/>
          </c:spPr>
          <c:cat>
            <c:numRef>
              <c:f>lifespans_all!$C$138:$L$138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lifespans_all!$C$145:$L$145</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6-A1F5-43C4-8638-9FF0FCC03818}"/>
            </c:ext>
          </c:extLst>
        </c:ser>
        <c:ser>
          <c:idx val="7"/>
          <c:order val="7"/>
          <c:tx>
            <c:strRef>
              <c:f>lifespans_all!$B$146</c:f>
              <c:strCache>
                <c:ptCount val="1"/>
                <c:pt idx="0">
                  <c:v>Terrestrial &amp; Aerial</c:v>
                </c:pt>
              </c:strCache>
            </c:strRef>
          </c:tx>
          <c:spPr>
            <a:solidFill>
              <a:schemeClr val="accent2">
                <a:lumMod val="60000"/>
              </a:schemeClr>
            </a:solidFill>
            <a:ln w="25400">
              <a:noFill/>
            </a:ln>
            <a:effectLst/>
          </c:spPr>
          <c:cat>
            <c:numRef>
              <c:f>lifespans_all!$C$138:$L$138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lifespans_all!$C$146:$L$146</c:f>
              <c:numCache>
                <c:formatCode>0</c:formatCode>
                <c:ptCount val="10"/>
                <c:pt idx="0">
                  <c:v>2.7</c:v>
                </c:pt>
                <c:pt idx="1">
                  <c:v>2.4</c:v>
                </c:pt>
                <c:pt idx="2">
                  <c:v>2.1</c:v>
                </c:pt>
                <c:pt idx="3">
                  <c:v>1.8</c:v>
                </c:pt>
                <c:pt idx="4">
                  <c:v>1.5</c:v>
                </c:pt>
                <c:pt idx="5">
                  <c:v>1.2</c:v>
                </c:pt>
                <c:pt idx="6">
                  <c:v>0.89999999999999991</c:v>
                </c:pt>
                <c:pt idx="7">
                  <c:v>0.60000000000000009</c:v>
                </c:pt>
                <c:pt idx="8">
                  <c:v>0.30000000000000027</c:v>
                </c:pt>
                <c:pt idx="9">
                  <c:v>4.4408920985006262E-16</c:v>
                </c:pt>
              </c:numCache>
            </c:numRef>
          </c:val>
          <c:extLst>
            <c:ext xmlns:c16="http://schemas.microsoft.com/office/drawing/2014/chart" uri="{C3380CC4-5D6E-409C-BE32-E72D297353CC}">
              <c16:uniqueId val="{00000007-A1F5-43C4-8638-9FF0FCC03818}"/>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Lifespans (High)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5.0659403679267169E-2"/>
          <c:y val="0.10605799289048519"/>
          <c:w val="0.90681643970940506"/>
          <c:h val="0.63030185267075134"/>
        </c:manualLayout>
      </c:layout>
      <c:areaChart>
        <c:grouping val="stacked"/>
        <c:varyColors val="0"/>
        <c:ser>
          <c:idx val="0"/>
          <c:order val="0"/>
          <c:tx>
            <c:strRef>
              <c:f>lifespans_all!$B$217</c:f>
              <c:strCache>
                <c:ptCount val="1"/>
                <c:pt idx="0">
                  <c:v>Human Space Flight</c:v>
                </c:pt>
              </c:strCache>
            </c:strRef>
          </c:tx>
          <c:spPr>
            <a:solidFill>
              <a:schemeClr val="accent1"/>
            </a:solidFill>
            <a:ln>
              <a:noFill/>
            </a:ln>
            <a:effectLst/>
          </c:spPr>
          <c:cat>
            <c:numRef>
              <c:f>lifespans_all!$C$216:$L$216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lifespans_all!$C$217:$L$217</c:f>
              <c:numCache>
                <c:formatCode>0</c:formatCode>
                <c:ptCount val="10"/>
                <c:pt idx="0">
                  <c:v>5.5</c:v>
                </c:pt>
                <c:pt idx="1">
                  <c:v>5</c:v>
                </c:pt>
                <c:pt idx="2">
                  <c:v>4.5</c:v>
                </c:pt>
                <c:pt idx="3">
                  <c:v>4</c:v>
                </c:pt>
                <c:pt idx="4">
                  <c:v>3.5</c:v>
                </c:pt>
                <c:pt idx="5">
                  <c:v>3</c:v>
                </c:pt>
                <c:pt idx="6">
                  <c:v>2.5</c:v>
                </c:pt>
                <c:pt idx="7">
                  <c:v>2</c:v>
                </c:pt>
                <c:pt idx="8">
                  <c:v>1.5</c:v>
                </c:pt>
                <c:pt idx="9">
                  <c:v>1</c:v>
                </c:pt>
              </c:numCache>
            </c:numRef>
          </c:val>
          <c:extLst>
            <c:ext xmlns:c16="http://schemas.microsoft.com/office/drawing/2014/chart" uri="{C3380CC4-5D6E-409C-BE32-E72D297353CC}">
              <c16:uniqueId val="{00000000-DCC0-4EAE-91DE-A7E18EE4DEB3}"/>
            </c:ext>
          </c:extLst>
        </c:ser>
        <c:ser>
          <c:idx val="1"/>
          <c:order val="1"/>
          <c:tx>
            <c:strRef>
              <c:f>lifespans_all!$B$218</c:f>
              <c:strCache>
                <c:ptCount val="1"/>
                <c:pt idx="0">
                  <c:v>Near Earth Robotic - LEO Science</c:v>
                </c:pt>
              </c:strCache>
            </c:strRef>
          </c:tx>
          <c:spPr>
            <a:solidFill>
              <a:schemeClr val="accent2"/>
            </a:solidFill>
            <a:ln>
              <a:noFill/>
            </a:ln>
            <a:effectLst/>
          </c:spPr>
          <c:cat>
            <c:numRef>
              <c:f>lifespans_all!$C$216:$L$216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lifespans_all!$C$218:$L$218</c:f>
              <c:numCache>
                <c:formatCode>0</c:formatCode>
                <c:ptCount val="10"/>
                <c:pt idx="0">
                  <c:v>17</c:v>
                </c:pt>
                <c:pt idx="1">
                  <c:v>17</c:v>
                </c:pt>
                <c:pt idx="2">
                  <c:v>17</c:v>
                </c:pt>
                <c:pt idx="3">
                  <c:v>17</c:v>
                </c:pt>
                <c:pt idx="4">
                  <c:v>17</c:v>
                </c:pt>
                <c:pt idx="5">
                  <c:v>17</c:v>
                </c:pt>
                <c:pt idx="6">
                  <c:v>17</c:v>
                </c:pt>
                <c:pt idx="7">
                  <c:v>17</c:v>
                </c:pt>
                <c:pt idx="8">
                  <c:v>17</c:v>
                </c:pt>
                <c:pt idx="9">
                  <c:v>17</c:v>
                </c:pt>
              </c:numCache>
            </c:numRef>
          </c:val>
          <c:extLst>
            <c:ext xmlns:c16="http://schemas.microsoft.com/office/drawing/2014/chart" uri="{C3380CC4-5D6E-409C-BE32-E72D297353CC}">
              <c16:uniqueId val="{00000001-DCC0-4EAE-91DE-A7E18EE4DEB3}"/>
            </c:ext>
          </c:extLst>
        </c:ser>
        <c:ser>
          <c:idx val="2"/>
          <c:order val="2"/>
          <c:tx>
            <c:strRef>
              <c:f>lifespans_all!$B$219</c:f>
              <c:strCache>
                <c:ptCount val="1"/>
                <c:pt idx="0">
                  <c:v>Near Earth Robotic - GEO and Near Earth</c:v>
                </c:pt>
              </c:strCache>
            </c:strRef>
          </c:tx>
          <c:spPr>
            <a:solidFill>
              <a:schemeClr val="accent3"/>
            </a:solidFill>
            <a:ln>
              <a:noFill/>
            </a:ln>
            <a:effectLst/>
          </c:spPr>
          <c:cat>
            <c:numRef>
              <c:f>lifespans_all!$C$216:$L$216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lifespans_all!$C$219:$L$219</c:f>
              <c:numCache>
                <c:formatCode>0</c:formatCode>
                <c:ptCount val="10"/>
                <c:pt idx="0">
                  <c:v>8</c:v>
                </c:pt>
                <c:pt idx="1">
                  <c:v>8</c:v>
                </c:pt>
                <c:pt idx="2">
                  <c:v>8</c:v>
                </c:pt>
                <c:pt idx="3">
                  <c:v>8</c:v>
                </c:pt>
                <c:pt idx="4">
                  <c:v>8</c:v>
                </c:pt>
                <c:pt idx="5">
                  <c:v>8</c:v>
                </c:pt>
                <c:pt idx="6">
                  <c:v>8</c:v>
                </c:pt>
                <c:pt idx="7">
                  <c:v>8</c:v>
                </c:pt>
                <c:pt idx="8">
                  <c:v>8</c:v>
                </c:pt>
                <c:pt idx="9">
                  <c:v>8</c:v>
                </c:pt>
              </c:numCache>
            </c:numRef>
          </c:val>
          <c:extLst>
            <c:ext xmlns:c16="http://schemas.microsoft.com/office/drawing/2014/chart" uri="{C3380CC4-5D6E-409C-BE32-E72D297353CC}">
              <c16:uniqueId val="{00000002-DCC0-4EAE-91DE-A7E18EE4DEB3}"/>
            </c:ext>
          </c:extLst>
        </c:ser>
        <c:ser>
          <c:idx val="3"/>
          <c:order val="3"/>
          <c:tx>
            <c:strRef>
              <c:f>lifespans_all!$B$220</c:f>
              <c:strCache>
                <c:ptCount val="1"/>
                <c:pt idx="0">
                  <c:v>Deep Space Robotic</c:v>
                </c:pt>
              </c:strCache>
            </c:strRef>
          </c:tx>
          <c:spPr>
            <a:solidFill>
              <a:schemeClr val="accent4"/>
            </a:solidFill>
            <a:ln w="25400">
              <a:noFill/>
            </a:ln>
            <a:effectLst/>
          </c:spPr>
          <c:cat>
            <c:numRef>
              <c:f>lifespans_all!$C$216:$L$216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lifespans_all!$C$220:$L$220</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DCC0-4EAE-91DE-A7E18EE4DEB3}"/>
            </c:ext>
          </c:extLst>
        </c:ser>
        <c:ser>
          <c:idx val="4"/>
          <c:order val="4"/>
          <c:tx>
            <c:strRef>
              <c:f>lifespans_all!$B$221</c:f>
              <c:strCache>
                <c:ptCount val="1"/>
                <c:pt idx="0">
                  <c:v>Near Earth Robotic - Low Latency &amp; Complex Needs</c:v>
                </c:pt>
              </c:strCache>
            </c:strRef>
          </c:tx>
          <c:spPr>
            <a:solidFill>
              <a:schemeClr val="accent5"/>
            </a:solidFill>
            <a:ln w="25400">
              <a:noFill/>
            </a:ln>
            <a:effectLst/>
          </c:spPr>
          <c:cat>
            <c:numRef>
              <c:f>lifespans_all!$C$216:$L$216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lifespans_all!$C$221:$L$221</c:f>
              <c:numCache>
                <c:formatCode>0</c:formatCode>
                <c:ptCount val="10"/>
                <c:pt idx="0">
                  <c:v>0.9</c:v>
                </c:pt>
                <c:pt idx="1">
                  <c:v>0.8</c:v>
                </c:pt>
                <c:pt idx="2">
                  <c:v>0.7</c:v>
                </c:pt>
                <c:pt idx="3">
                  <c:v>0.6</c:v>
                </c:pt>
                <c:pt idx="4">
                  <c:v>0.5</c:v>
                </c:pt>
                <c:pt idx="5">
                  <c:v>0.4</c:v>
                </c:pt>
                <c:pt idx="6">
                  <c:v>0.30000000000000004</c:v>
                </c:pt>
                <c:pt idx="7">
                  <c:v>0.20000000000000007</c:v>
                </c:pt>
                <c:pt idx="8">
                  <c:v>0.10000000000000009</c:v>
                </c:pt>
                <c:pt idx="9">
                  <c:v>0</c:v>
                </c:pt>
              </c:numCache>
            </c:numRef>
          </c:val>
          <c:extLst>
            <c:ext xmlns:c16="http://schemas.microsoft.com/office/drawing/2014/chart" uri="{C3380CC4-5D6E-409C-BE32-E72D297353CC}">
              <c16:uniqueId val="{00000004-DCC0-4EAE-91DE-A7E18EE4DEB3}"/>
            </c:ext>
          </c:extLst>
        </c:ser>
        <c:ser>
          <c:idx val="5"/>
          <c:order val="5"/>
          <c:tx>
            <c:strRef>
              <c:f>lifespans_all!$B$222</c:f>
              <c:strCache>
                <c:ptCount val="1"/>
                <c:pt idx="0">
                  <c:v>Mission Operations</c:v>
                </c:pt>
              </c:strCache>
            </c:strRef>
          </c:tx>
          <c:spPr>
            <a:solidFill>
              <a:schemeClr val="accent6"/>
            </a:solidFill>
            <a:ln w="25400">
              <a:noFill/>
            </a:ln>
            <a:effectLst/>
          </c:spPr>
          <c:cat>
            <c:numRef>
              <c:f>lifespans_all!$C$216:$L$216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lifespans_all!$C$222:$L$222</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DCC0-4EAE-91DE-A7E18EE4DEB3}"/>
            </c:ext>
          </c:extLst>
        </c:ser>
        <c:ser>
          <c:idx val="6"/>
          <c:order val="6"/>
          <c:tx>
            <c:strRef>
              <c:f>lifespans_all!$B$223</c:f>
              <c:strCache>
                <c:ptCount val="1"/>
                <c:pt idx="0">
                  <c:v>Launch Events</c:v>
                </c:pt>
              </c:strCache>
            </c:strRef>
          </c:tx>
          <c:spPr>
            <a:solidFill>
              <a:schemeClr val="accent1">
                <a:lumMod val="60000"/>
              </a:schemeClr>
            </a:solidFill>
            <a:ln w="25400">
              <a:noFill/>
            </a:ln>
            <a:effectLst/>
          </c:spPr>
          <c:cat>
            <c:numRef>
              <c:f>lifespans_all!$C$216:$L$216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lifespans_all!$C$223:$L$223</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6-DCC0-4EAE-91DE-A7E18EE4DEB3}"/>
            </c:ext>
          </c:extLst>
        </c:ser>
        <c:ser>
          <c:idx val="7"/>
          <c:order val="7"/>
          <c:tx>
            <c:strRef>
              <c:f>lifespans_all!$B$224</c:f>
              <c:strCache>
                <c:ptCount val="1"/>
                <c:pt idx="0">
                  <c:v>Terrestrial &amp; Aerial</c:v>
                </c:pt>
              </c:strCache>
            </c:strRef>
          </c:tx>
          <c:spPr>
            <a:solidFill>
              <a:schemeClr val="accent2">
                <a:lumMod val="60000"/>
              </a:schemeClr>
            </a:solidFill>
            <a:ln w="25400">
              <a:noFill/>
            </a:ln>
            <a:effectLst/>
          </c:spPr>
          <c:cat>
            <c:numRef>
              <c:f>lifespans_all!$C$216:$L$216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lifespans_all!$C$224:$L$224</c:f>
              <c:numCache>
                <c:formatCode>0</c:formatCode>
                <c:ptCount val="10"/>
                <c:pt idx="0">
                  <c:v>2.7</c:v>
                </c:pt>
                <c:pt idx="1">
                  <c:v>2.4</c:v>
                </c:pt>
                <c:pt idx="2">
                  <c:v>2.1</c:v>
                </c:pt>
                <c:pt idx="3">
                  <c:v>1.8</c:v>
                </c:pt>
                <c:pt idx="4">
                  <c:v>1.5</c:v>
                </c:pt>
                <c:pt idx="5">
                  <c:v>1.2</c:v>
                </c:pt>
                <c:pt idx="6">
                  <c:v>0.89999999999999991</c:v>
                </c:pt>
                <c:pt idx="7">
                  <c:v>0.60000000000000009</c:v>
                </c:pt>
                <c:pt idx="8">
                  <c:v>0.30000000000000027</c:v>
                </c:pt>
                <c:pt idx="9">
                  <c:v>4.4408920985006262E-16</c:v>
                </c:pt>
              </c:numCache>
            </c:numRef>
          </c:val>
          <c:extLst>
            <c:ext xmlns:c16="http://schemas.microsoft.com/office/drawing/2014/chart" uri="{C3380CC4-5D6E-409C-BE32-E72D297353CC}">
              <c16:uniqueId val="{00000007-DCC0-4EAE-91DE-A7E18EE4DEB3}"/>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Lifespans (Low)</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tx>
            <c:strRef>
              <c:f>lifespans_all!$B$74</c:f>
              <c:strCache>
                <c:ptCount val="1"/>
                <c:pt idx="0">
                  <c:v>Existing</c:v>
                </c:pt>
              </c:strCache>
            </c:strRef>
          </c:tx>
          <c:spPr>
            <a:solidFill>
              <a:schemeClr val="accent1"/>
            </a:solidFill>
            <a:ln>
              <a:noFill/>
            </a:ln>
            <a:effectLst/>
          </c:spPr>
          <c:cat>
            <c:numRef>
              <c:f>lifespans_all!$C$73:$L$73</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lifespans_all!$C$74:$L$74</c:f>
              <c:numCache>
                <c:formatCode>General</c:formatCode>
                <c:ptCount val="10"/>
                <c:pt idx="0">
                  <c:v>42</c:v>
                </c:pt>
                <c:pt idx="1">
                  <c:v>38</c:v>
                </c:pt>
                <c:pt idx="2">
                  <c:v>32</c:v>
                </c:pt>
                <c:pt idx="3">
                  <c:v>29</c:v>
                </c:pt>
                <c:pt idx="4">
                  <c:v>24</c:v>
                </c:pt>
                <c:pt idx="5">
                  <c:v>20</c:v>
                </c:pt>
                <c:pt idx="6">
                  <c:v>17</c:v>
                </c:pt>
                <c:pt idx="7">
                  <c:v>15</c:v>
                </c:pt>
                <c:pt idx="8">
                  <c:v>15</c:v>
                </c:pt>
                <c:pt idx="9">
                  <c:v>15</c:v>
                </c:pt>
              </c:numCache>
            </c:numRef>
          </c:val>
          <c:extLst>
            <c:ext xmlns:c16="http://schemas.microsoft.com/office/drawing/2014/chart" uri="{C3380CC4-5D6E-409C-BE32-E72D297353CC}">
              <c16:uniqueId val="{00000000-5CCE-4E0E-8E5D-E5BEAF3F277A}"/>
            </c:ext>
          </c:extLst>
        </c:ser>
        <c:ser>
          <c:idx val="1"/>
          <c:order val="1"/>
          <c:tx>
            <c:strRef>
              <c:f>lifespans_all!$B$75</c:f>
              <c:strCache>
                <c:ptCount val="1"/>
                <c:pt idx="0">
                  <c:v>Replacement</c:v>
                </c:pt>
              </c:strCache>
            </c:strRef>
          </c:tx>
          <c:spPr>
            <a:solidFill>
              <a:schemeClr val="accent2"/>
            </a:solidFill>
            <a:ln>
              <a:noFill/>
            </a:ln>
            <a:effectLst/>
          </c:spPr>
          <c:cat>
            <c:numRef>
              <c:f>lifespans_all!$C$73:$L$73</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lifespans_all!$C$75:$L$75</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5CCE-4E0E-8E5D-E5BEAF3F277A}"/>
            </c:ext>
          </c:extLst>
        </c:ser>
        <c:dLbls>
          <c:showLegendKey val="0"/>
          <c:showVal val="0"/>
          <c:showCatName val="0"/>
          <c:showSerName val="0"/>
          <c:showPercent val="0"/>
          <c:showBubbleSize val="0"/>
        </c:dLbls>
        <c:axId val="1043470975"/>
        <c:axId val="1043473471"/>
      </c:areaChart>
      <c:catAx>
        <c:axId val="104347097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473471"/>
        <c:crosses val="autoZero"/>
        <c:auto val="1"/>
        <c:lblAlgn val="ctr"/>
        <c:lblOffset val="100"/>
        <c:noMultiLvlLbl val="0"/>
      </c:catAx>
      <c:valAx>
        <c:axId val="104347347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470975"/>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Lifespans (Baseline)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tx>
            <c:strRef>
              <c:f>lifespans_all!$B$152</c:f>
              <c:strCache>
                <c:ptCount val="1"/>
                <c:pt idx="0">
                  <c:v>Existing</c:v>
                </c:pt>
              </c:strCache>
            </c:strRef>
          </c:tx>
          <c:spPr>
            <a:solidFill>
              <a:schemeClr val="accent1"/>
            </a:solidFill>
            <a:ln>
              <a:noFill/>
            </a:ln>
            <a:effectLst/>
          </c:spPr>
          <c:cat>
            <c:numRef>
              <c:f>lifespans_all!$C$151:$L$151</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lifespans_all!$C$152:$L$152</c:f>
              <c:numCache>
                <c:formatCode>General</c:formatCode>
                <c:ptCount val="10"/>
                <c:pt idx="0">
                  <c:v>42</c:v>
                </c:pt>
                <c:pt idx="1">
                  <c:v>38</c:v>
                </c:pt>
                <c:pt idx="2">
                  <c:v>32</c:v>
                </c:pt>
                <c:pt idx="3">
                  <c:v>29</c:v>
                </c:pt>
                <c:pt idx="4">
                  <c:v>24</c:v>
                </c:pt>
                <c:pt idx="5">
                  <c:v>20</c:v>
                </c:pt>
                <c:pt idx="6">
                  <c:v>17</c:v>
                </c:pt>
                <c:pt idx="7">
                  <c:v>15</c:v>
                </c:pt>
                <c:pt idx="8">
                  <c:v>15</c:v>
                </c:pt>
                <c:pt idx="9">
                  <c:v>15</c:v>
                </c:pt>
              </c:numCache>
            </c:numRef>
          </c:val>
          <c:extLst>
            <c:ext xmlns:c16="http://schemas.microsoft.com/office/drawing/2014/chart" uri="{C3380CC4-5D6E-409C-BE32-E72D297353CC}">
              <c16:uniqueId val="{00000000-5CCE-4E0E-8E5D-E5BEAF3F277A}"/>
            </c:ext>
          </c:extLst>
        </c:ser>
        <c:ser>
          <c:idx val="1"/>
          <c:order val="1"/>
          <c:tx>
            <c:strRef>
              <c:f>lifespans_all!$B$153</c:f>
              <c:strCache>
                <c:ptCount val="1"/>
                <c:pt idx="0">
                  <c:v>Replacement</c:v>
                </c:pt>
              </c:strCache>
            </c:strRef>
          </c:tx>
          <c:spPr>
            <a:solidFill>
              <a:schemeClr val="accent2"/>
            </a:solidFill>
            <a:ln>
              <a:noFill/>
            </a:ln>
            <a:effectLst/>
          </c:spPr>
          <c:cat>
            <c:numRef>
              <c:f>lifespans_all!$C$151:$L$151</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lifespans_all!$C$153:$L$153</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5CCE-4E0E-8E5D-E5BEAF3F277A}"/>
            </c:ext>
          </c:extLst>
        </c:ser>
        <c:dLbls>
          <c:showLegendKey val="0"/>
          <c:showVal val="0"/>
          <c:showCatName val="0"/>
          <c:showSerName val="0"/>
          <c:showPercent val="0"/>
          <c:showBubbleSize val="0"/>
        </c:dLbls>
        <c:axId val="1043470975"/>
        <c:axId val="1043473471"/>
      </c:areaChart>
      <c:catAx>
        <c:axId val="104347097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473471"/>
        <c:crosses val="autoZero"/>
        <c:auto val="1"/>
        <c:lblAlgn val="ctr"/>
        <c:lblOffset val="100"/>
        <c:noMultiLvlLbl val="0"/>
      </c:catAx>
      <c:valAx>
        <c:axId val="104347347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470975"/>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Lifespans (High)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tx>
            <c:strRef>
              <c:f>lifespans_all!$B$230</c:f>
              <c:strCache>
                <c:ptCount val="1"/>
                <c:pt idx="0">
                  <c:v>Existing</c:v>
                </c:pt>
              </c:strCache>
            </c:strRef>
          </c:tx>
          <c:spPr>
            <a:solidFill>
              <a:schemeClr val="accent1"/>
            </a:solidFill>
            <a:ln>
              <a:noFill/>
            </a:ln>
            <a:effectLst/>
          </c:spPr>
          <c:cat>
            <c:numRef>
              <c:f>lifespans_all!$C$229:$L$229</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lifespans_all!$C$230:$L$230</c:f>
              <c:numCache>
                <c:formatCode>General</c:formatCode>
                <c:ptCount val="10"/>
                <c:pt idx="0">
                  <c:v>42</c:v>
                </c:pt>
                <c:pt idx="1">
                  <c:v>38</c:v>
                </c:pt>
                <c:pt idx="2">
                  <c:v>32</c:v>
                </c:pt>
                <c:pt idx="3">
                  <c:v>29</c:v>
                </c:pt>
                <c:pt idx="4">
                  <c:v>24</c:v>
                </c:pt>
                <c:pt idx="5">
                  <c:v>20</c:v>
                </c:pt>
                <c:pt idx="6">
                  <c:v>17</c:v>
                </c:pt>
                <c:pt idx="7">
                  <c:v>15</c:v>
                </c:pt>
                <c:pt idx="8">
                  <c:v>15</c:v>
                </c:pt>
                <c:pt idx="9">
                  <c:v>15</c:v>
                </c:pt>
              </c:numCache>
            </c:numRef>
          </c:val>
          <c:extLst>
            <c:ext xmlns:c16="http://schemas.microsoft.com/office/drawing/2014/chart" uri="{C3380CC4-5D6E-409C-BE32-E72D297353CC}">
              <c16:uniqueId val="{00000000-6313-4077-A941-8E2C5279F66D}"/>
            </c:ext>
          </c:extLst>
        </c:ser>
        <c:ser>
          <c:idx val="1"/>
          <c:order val="1"/>
          <c:tx>
            <c:strRef>
              <c:f>lifespans_all!$B$231</c:f>
              <c:strCache>
                <c:ptCount val="1"/>
                <c:pt idx="0">
                  <c:v>Replacement</c:v>
                </c:pt>
              </c:strCache>
            </c:strRef>
          </c:tx>
          <c:spPr>
            <a:solidFill>
              <a:schemeClr val="accent2"/>
            </a:solidFill>
            <a:ln>
              <a:noFill/>
            </a:ln>
            <a:effectLst/>
          </c:spPr>
          <c:cat>
            <c:numRef>
              <c:f>lifespans_all!$C$229:$L$229</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lifespans_all!$C$231:$L$231</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6313-4077-A941-8E2C5279F66D}"/>
            </c:ext>
          </c:extLst>
        </c:ser>
        <c:dLbls>
          <c:showLegendKey val="0"/>
          <c:showVal val="0"/>
          <c:showCatName val="0"/>
          <c:showSerName val="0"/>
          <c:showPercent val="0"/>
          <c:showBubbleSize val="0"/>
        </c:dLbls>
        <c:axId val="1043470975"/>
        <c:axId val="1043473471"/>
      </c:areaChart>
      <c:catAx>
        <c:axId val="104347097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473471"/>
        <c:crosses val="autoZero"/>
        <c:auto val="1"/>
        <c:lblAlgn val="ctr"/>
        <c:lblOffset val="100"/>
        <c:noMultiLvlLbl val="0"/>
      </c:catAx>
      <c:valAx>
        <c:axId val="104347347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470975"/>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Demand Forecast</a:t>
            </a:r>
            <a:r>
              <a:rPr lang="en-US" baseline="0"/>
              <a:t> </a:t>
            </a:r>
            <a:r>
              <a:rPr lang="en-US"/>
              <a:t>(Low)</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2302655687866396"/>
          <c:y val="0.10605799289048519"/>
          <c:w val="0.84501691986272398"/>
          <c:h val="0.60682971253468532"/>
        </c:manualLayout>
      </c:layout>
      <c:areaChart>
        <c:grouping val="stacked"/>
        <c:varyColors val="0"/>
        <c:ser>
          <c:idx val="0"/>
          <c:order val="0"/>
          <c:tx>
            <c:strRef>
              <c:f>DTE_demand_forecast!$B$62</c:f>
              <c:strCache>
                <c:ptCount val="1"/>
                <c:pt idx="0">
                  <c:v>Human Space Flight</c:v>
                </c:pt>
              </c:strCache>
            </c:strRef>
          </c:tx>
          <c:spPr>
            <a:solidFill>
              <a:schemeClr val="accent1"/>
            </a:solidFill>
            <a:ln>
              <a:noFill/>
            </a:ln>
            <a:effectLst/>
          </c:spPr>
          <c:cat>
            <c:numRef>
              <c:f>DTE_demand_forecast!$C$61:$L$61</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DTE_demand_forecast!$C$62:$L$62</c:f>
              <c:numCache>
                <c:formatCode>0</c:formatCode>
                <c:ptCount val="10"/>
                <c:pt idx="0">
                  <c:v>609439.12110527779</c:v>
                </c:pt>
                <c:pt idx="1">
                  <c:v>519948.9128763667</c:v>
                </c:pt>
                <c:pt idx="2">
                  <c:v>425948.74252356874</c:v>
                </c:pt>
                <c:pt idx="3">
                  <c:v>330762.42415212019</c:v>
                </c:pt>
                <c:pt idx="4">
                  <c:v>230621.78307160601</c:v>
                </c:pt>
                <c:pt idx="5">
                  <c:v>126621.17546217027</c:v>
                </c:pt>
                <c:pt idx="6">
                  <c:v>18646.258919088054</c:v>
                </c:pt>
                <c:pt idx="7">
                  <c:v>-93420.338671942241</c:v>
                </c:pt>
                <c:pt idx="8">
                  <c:v>-209699.09458622185</c:v>
                </c:pt>
                <c:pt idx="9">
                  <c:v>-330313.66851764405</c:v>
                </c:pt>
              </c:numCache>
            </c:numRef>
          </c:val>
          <c:extLst>
            <c:ext xmlns:c16="http://schemas.microsoft.com/office/drawing/2014/chart" uri="{C3380CC4-5D6E-409C-BE32-E72D297353CC}">
              <c16:uniqueId val="{00000000-6C68-4877-AA88-42AD6F52C98D}"/>
            </c:ext>
          </c:extLst>
        </c:ser>
        <c:ser>
          <c:idx val="1"/>
          <c:order val="1"/>
          <c:tx>
            <c:strRef>
              <c:f>DTE_demand_forecast!$B$63</c:f>
              <c:strCache>
                <c:ptCount val="1"/>
                <c:pt idx="0">
                  <c:v>Near Earth Robotic - LEO Science</c:v>
                </c:pt>
              </c:strCache>
            </c:strRef>
          </c:tx>
          <c:spPr>
            <a:solidFill>
              <a:schemeClr val="accent2"/>
            </a:solidFill>
            <a:ln>
              <a:noFill/>
            </a:ln>
            <a:effectLst/>
          </c:spPr>
          <c:cat>
            <c:numRef>
              <c:f>DTE_demand_forecast!$C$61:$L$61</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DTE_demand_forecast!$C$63:$L$63</c:f>
              <c:numCache>
                <c:formatCode>0</c:formatCode>
                <c:ptCount val="10"/>
                <c:pt idx="0">
                  <c:v>941302.60667333298</c:v>
                </c:pt>
                <c:pt idx="1">
                  <c:v>717259.43297308381</c:v>
                </c:pt>
                <c:pt idx="2">
                  <c:v>593590.05382877064</c:v>
                </c:pt>
                <c:pt idx="3">
                  <c:v>388717.41040580696</c:v>
                </c:pt>
                <c:pt idx="4">
                  <c:v>466474.16585483303</c:v>
                </c:pt>
                <c:pt idx="5">
                  <c:v>412716.44129150582</c:v>
                </c:pt>
                <c:pt idx="6">
                  <c:v>363961.08296529512</c:v>
                </c:pt>
                <c:pt idx="7">
                  <c:v>419328.58300069306</c:v>
                </c:pt>
                <c:pt idx="8">
                  <c:v>418288.10647541087</c:v>
                </c:pt>
                <c:pt idx="9">
                  <c:v>417039.53464507207</c:v>
                </c:pt>
              </c:numCache>
            </c:numRef>
          </c:val>
          <c:extLst>
            <c:ext xmlns:c16="http://schemas.microsoft.com/office/drawing/2014/chart" uri="{C3380CC4-5D6E-409C-BE32-E72D297353CC}">
              <c16:uniqueId val="{00000001-6C68-4877-AA88-42AD6F52C98D}"/>
            </c:ext>
          </c:extLst>
        </c:ser>
        <c:ser>
          <c:idx val="2"/>
          <c:order val="2"/>
          <c:tx>
            <c:strRef>
              <c:f>DTE_demand_forecast!$B$64</c:f>
              <c:strCache>
                <c:ptCount val="1"/>
                <c:pt idx="0">
                  <c:v>Near Earth Robotic - GEO and Near Earth</c:v>
                </c:pt>
              </c:strCache>
            </c:strRef>
          </c:tx>
          <c:spPr>
            <a:solidFill>
              <a:schemeClr val="accent3"/>
            </a:solidFill>
            <a:ln>
              <a:noFill/>
            </a:ln>
            <a:effectLst/>
          </c:spPr>
          <c:cat>
            <c:numRef>
              <c:f>DTE_demand_forecast!$C$61:$L$61</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DTE_demand_forecast!$C$64:$L$64</c:f>
              <c:numCache>
                <c:formatCode>0</c:formatCode>
                <c:ptCount val="10"/>
                <c:pt idx="0">
                  <c:v>14990.287088507932</c:v>
                </c:pt>
                <c:pt idx="1">
                  <c:v>14790.422113933966</c:v>
                </c:pt>
                <c:pt idx="2">
                  <c:v>16801.29468917078</c:v>
                </c:pt>
                <c:pt idx="3">
                  <c:v>16738.941275205882</c:v>
                </c:pt>
                <c:pt idx="4">
                  <c:v>16670.797901372818</c:v>
                </c:pt>
                <c:pt idx="5">
                  <c:v>16596.657910642443</c:v>
                </c:pt>
                <c:pt idx="6">
                  <c:v>16516.3086956884</c:v>
                </c:pt>
                <c:pt idx="7">
                  <c:v>16429.531543538033</c:v>
                </c:pt>
                <c:pt idx="8">
                  <c:v>16336.101476389471</c:v>
                </c:pt>
                <c:pt idx="9">
                  <c:v>16235.787088503646</c:v>
                </c:pt>
              </c:numCache>
            </c:numRef>
          </c:val>
          <c:extLst>
            <c:ext xmlns:c16="http://schemas.microsoft.com/office/drawing/2014/chart" uri="{C3380CC4-5D6E-409C-BE32-E72D297353CC}">
              <c16:uniqueId val="{00000002-6C68-4877-AA88-42AD6F52C98D}"/>
            </c:ext>
          </c:extLst>
        </c:ser>
        <c:ser>
          <c:idx val="3"/>
          <c:order val="3"/>
          <c:tx>
            <c:strRef>
              <c:f>DTE_demand_forecast!$B$65</c:f>
              <c:strCache>
                <c:ptCount val="1"/>
                <c:pt idx="0">
                  <c:v>Deep Space Robotic</c:v>
                </c:pt>
              </c:strCache>
            </c:strRef>
          </c:tx>
          <c:spPr>
            <a:solidFill>
              <a:schemeClr val="accent4"/>
            </a:solidFill>
            <a:ln w="25400">
              <a:noFill/>
            </a:ln>
            <a:effectLst/>
          </c:spPr>
          <c:cat>
            <c:numRef>
              <c:f>DTE_demand_forecast!$C$61:$L$61</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DTE_demand_forecast!$C$65:$L$65</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6C68-4877-AA88-42AD6F52C98D}"/>
            </c:ext>
          </c:extLst>
        </c:ser>
        <c:ser>
          <c:idx val="4"/>
          <c:order val="4"/>
          <c:tx>
            <c:strRef>
              <c:f>DTE_demand_forecast!$B$66</c:f>
              <c:strCache>
                <c:ptCount val="1"/>
                <c:pt idx="0">
                  <c:v>Near Earth Robotic - Low Latency &amp; Complex Needs</c:v>
                </c:pt>
              </c:strCache>
            </c:strRef>
          </c:tx>
          <c:spPr>
            <a:solidFill>
              <a:schemeClr val="accent5"/>
            </a:solidFill>
            <a:ln w="25400">
              <a:noFill/>
            </a:ln>
            <a:effectLst/>
          </c:spPr>
          <c:cat>
            <c:numRef>
              <c:f>DTE_demand_forecast!$C$61:$L$61</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DTE_demand_forecast!$C$66:$L$66</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6C68-4877-AA88-42AD6F52C98D}"/>
            </c:ext>
          </c:extLst>
        </c:ser>
        <c:ser>
          <c:idx val="5"/>
          <c:order val="5"/>
          <c:tx>
            <c:strRef>
              <c:f>DTE_demand_forecast!$B$67</c:f>
              <c:strCache>
                <c:ptCount val="1"/>
                <c:pt idx="0">
                  <c:v>Mission Operations</c:v>
                </c:pt>
              </c:strCache>
            </c:strRef>
          </c:tx>
          <c:spPr>
            <a:solidFill>
              <a:schemeClr val="accent6"/>
            </a:solidFill>
            <a:ln w="25400">
              <a:noFill/>
            </a:ln>
            <a:effectLst/>
          </c:spPr>
          <c:cat>
            <c:numRef>
              <c:f>DTE_demand_forecast!$C$61:$L$61</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DTE_demand_forecast!$C$67:$L$67</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6C68-4877-AA88-42AD6F52C98D}"/>
            </c:ext>
          </c:extLst>
        </c:ser>
        <c:ser>
          <c:idx val="6"/>
          <c:order val="6"/>
          <c:tx>
            <c:strRef>
              <c:f>DTE_demand_forecast!$B$68</c:f>
              <c:strCache>
                <c:ptCount val="1"/>
                <c:pt idx="0">
                  <c:v>Launch Events</c:v>
                </c:pt>
              </c:strCache>
            </c:strRef>
          </c:tx>
          <c:spPr>
            <a:solidFill>
              <a:schemeClr val="accent1">
                <a:lumMod val="60000"/>
              </a:schemeClr>
            </a:solidFill>
            <a:ln w="25400">
              <a:noFill/>
            </a:ln>
            <a:effectLst/>
          </c:spPr>
          <c:cat>
            <c:numRef>
              <c:f>DTE_demand_forecast!$C$61:$L$61</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DTE_demand_forecast!$C$68:$L$68</c:f>
              <c:numCache>
                <c:formatCode>0</c:formatCode>
                <c:ptCount val="10"/>
                <c:pt idx="0">
                  <c:v>1472.7862655555555</c:v>
                </c:pt>
                <c:pt idx="1">
                  <c:v>1512.0012127777777</c:v>
                </c:pt>
                <c:pt idx="2">
                  <c:v>1460.5163599999998</c:v>
                </c:pt>
                <c:pt idx="3">
                  <c:v>1477.6676861111109</c:v>
                </c:pt>
                <c:pt idx="4">
                  <c:v>1442.2270488888887</c:v>
                </c:pt>
                <c:pt idx="5">
                  <c:v>1442.2270488888887</c:v>
                </c:pt>
                <c:pt idx="6">
                  <c:v>1442.2270488888887</c:v>
                </c:pt>
                <c:pt idx="7">
                  <c:v>1442.2270488888887</c:v>
                </c:pt>
                <c:pt idx="8">
                  <c:v>1442.2270488888887</c:v>
                </c:pt>
                <c:pt idx="9">
                  <c:v>1442.2270488888887</c:v>
                </c:pt>
              </c:numCache>
            </c:numRef>
          </c:val>
          <c:extLst>
            <c:ext xmlns:c16="http://schemas.microsoft.com/office/drawing/2014/chart" uri="{C3380CC4-5D6E-409C-BE32-E72D297353CC}">
              <c16:uniqueId val="{00000006-6C68-4877-AA88-42AD6F52C98D}"/>
            </c:ext>
          </c:extLst>
        </c:ser>
        <c:ser>
          <c:idx val="7"/>
          <c:order val="7"/>
          <c:tx>
            <c:strRef>
              <c:f>DTE_demand_forecast!$B$69</c:f>
              <c:strCache>
                <c:ptCount val="1"/>
                <c:pt idx="0">
                  <c:v>Terrestrial &amp; Aerial</c:v>
                </c:pt>
              </c:strCache>
            </c:strRef>
          </c:tx>
          <c:spPr>
            <a:solidFill>
              <a:schemeClr val="accent2">
                <a:lumMod val="60000"/>
              </a:schemeClr>
            </a:solidFill>
            <a:ln w="25400">
              <a:noFill/>
            </a:ln>
            <a:effectLst/>
          </c:spPr>
          <c:cat>
            <c:numRef>
              <c:f>DTE_demand_forecast!$C$61:$L$61</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DTE_demand_forecast!$C$69:$L$69</c:f>
              <c:numCache>
                <c:formatCode>0</c:formatCode>
                <c:ptCount val="10"/>
                <c:pt idx="0">
                  <c:v>64004.337319000013</c:v>
                </c:pt>
                <c:pt idx="1">
                  <c:v>127401.18589624894</c:v>
                </c:pt>
                <c:pt idx="2">
                  <c:v>100146.86040297127</c:v>
                </c:pt>
                <c:pt idx="3">
                  <c:v>71861.737723627579</c:v>
                </c:pt>
                <c:pt idx="4">
                  <c:v>42433.707937305822</c:v>
                </c:pt>
                <c:pt idx="5">
                  <c:v>109206.69086227258</c:v>
                </c:pt>
                <c:pt idx="6">
                  <c:v>79379.88279360767</c:v>
                </c:pt>
                <c:pt idx="7">
                  <c:v>48352.101260985946</c:v>
                </c:pt>
                <c:pt idx="8">
                  <c:v>16087.238049076564</c:v>
                </c:pt>
                <c:pt idx="9">
                  <c:v>-17451.778996678913</c:v>
                </c:pt>
              </c:numCache>
            </c:numRef>
          </c:val>
          <c:extLst>
            <c:ext xmlns:c16="http://schemas.microsoft.com/office/drawing/2014/chart" uri="{C3380CC4-5D6E-409C-BE32-E72D297353CC}">
              <c16:uniqueId val="{00000007-6C68-4877-AA88-42AD6F52C98D}"/>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max val="140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Minutes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Demand Forecast (Baseline)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2632365848471122"/>
          <c:y val="0.10605799289048519"/>
          <c:w val="0.84171981825667663"/>
          <c:h val="0.61211338044219699"/>
        </c:manualLayout>
      </c:layout>
      <c:areaChart>
        <c:grouping val="stacked"/>
        <c:varyColors val="0"/>
        <c:ser>
          <c:idx val="0"/>
          <c:order val="0"/>
          <c:tx>
            <c:strRef>
              <c:f>DTE_demand_forecast!$B$141</c:f>
              <c:strCache>
                <c:ptCount val="1"/>
                <c:pt idx="0">
                  <c:v>Human Space Flight</c:v>
                </c:pt>
              </c:strCache>
            </c:strRef>
          </c:tx>
          <c:spPr>
            <a:solidFill>
              <a:schemeClr val="accent1"/>
            </a:solidFill>
            <a:ln>
              <a:noFill/>
            </a:ln>
            <a:effectLst/>
          </c:spPr>
          <c:cat>
            <c:numRef>
              <c:f>DTE_demand_forecast!$C$140:$L$140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DTE_demand_forecast!$C$141:$L$141</c:f>
              <c:numCache>
                <c:formatCode>0</c:formatCode>
                <c:ptCount val="10"/>
                <c:pt idx="0">
                  <c:v>609439.12110527779</c:v>
                </c:pt>
                <c:pt idx="1">
                  <c:v>519948.9128763667</c:v>
                </c:pt>
                <c:pt idx="2">
                  <c:v>425948.74252356874</c:v>
                </c:pt>
                <c:pt idx="3">
                  <c:v>330762.42415212019</c:v>
                </c:pt>
                <c:pt idx="4">
                  <c:v>230621.78307160601</c:v>
                </c:pt>
                <c:pt idx="5">
                  <c:v>126621.17546217027</c:v>
                </c:pt>
                <c:pt idx="6">
                  <c:v>18646.258919088054</c:v>
                </c:pt>
                <c:pt idx="7">
                  <c:v>-93420.338671942241</c:v>
                </c:pt>
                <c:pt idx="8">
                  <c:v>-209699.09458622185</c:v>
                </c:pt>
                <c:pt idx="9">
                  <c:v>-330313.66851764405</c:v>
                </c:pt>
              </c:numCache>
            </c:numRef>
          </c:val>
          <c:extLst>
            <c:ext xmlns:c16="http://schemas.microsoft.com/office/drawing/2014/chart" uri="{C3380CC4-5D6E-409C-BE32-E72D297353CC}">
              <c16:uniqueId val="{00000000-87EB-421A-89CA-DE357EFB09CC}"/>
            </c:ext>
          </c:extLst>
        </c:ser>
        <c:ser>
          <c:idx val="1"/>
          <c:order val="1"/>
          <c:tx>
            <c:strRef>
              <c:f>DTE_demand_forecast!$B$142</c:f>
              <c:strCache>
                <c:ptCount val="1"/>
                <c:pt idx="0">
                  <c:v>Near Earth Robotic - LEO Science</c:v>
                </c:pt>
              </c:strCache>
            </c:strRef>
          </c:tx>
          <c:spPr>
            <a:solidFill>
              <a:schemeClr val="accent2"/>
            </a:solidFill>
            <a:ln>
              <a:noFill/>
            </a:ln>
            <a:effectLst/>
          </c:spPr>
          <c:cat>
            <c:numRef>
              <c:f>DTE_demand_forecast!$C$140:$L$140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DTE_demand_forecast!$C$142:$L$142</c:f>
              <c:numCache>
                <c:formatCode>0</c:formatCode>
                <c:ptCount val="10"/>
                <c:pt idx="0">
                  <c:v>946594.00210999965</c:v>
                </c:pt>
                <c:pt idx="1">
                  <c:v>727512.82482435042</c:v>
                </c:pt>
                <c:pt idx="2">
                  <c:v>607178.55386637861</c:v>
                </c:pt>
                <c:pt idx="3">
                  <c:v>411334.80990627763</c:v>
                </c:pt>
                <c:pt idx="4">
                  <c:v>495311.35021793313</c:v>
                </c:pt>
                <c:pt idx="5">
                  <c:v>448013.15495194035</c:v>
                </c:pt>
                <c:pt idx="6">
                  <c:v>405964.17222121218</c:v>
                </c:pt>
                <c:pt idx="7">
                  <c:v>468292.18419044785</c:v>
                </c:pt>
                <c:pt idx="8">
                  <c:v>474473.83884065441</c:v>
                </c:pt>
                <c:pt idx="9">
                  <c:v>480716.69799234817</c:v>
                </c:pt>
              </c:numCache>
            </c:numRef>
          </c:val>
          <c:extLst>
            <c:ext xmlns:c16="http://schemas.microsoft.com/office/drawing/2014/chart" uri="{C3380CC4-5D6E-409C-BE32-E72D297353CC}">
              <c16:uniqueId val="{00000001-87EB-421A-89CA-DE357EFB09CC}"/>
            </c:ext>
          </c:extLst>
        </c:ser>
        <c:ser>
          <c:idx val="2"/>
          <c:order val="2"/>
          <c:tx>
            <c:strRef>
              <c:f>DTE_demand_forecast!$B$143</c:f>
              <c:strCache>
                <c:ptCount val="1"/>
                <c:pt idx="0">
                  <c:v>Near Earth Robotic - GEO and Near Earth</c:v>
                </c:pt>
              </c:strCache>
            </c:strRef>
          </c:tx>
          <c:spPr>
            <a:solidFill>
              <a:schemeClr val="accent3"/>
            </a:solidFill>
            <a:ln>
              <a:noFill/>
            </a:ln>
            <a:effectLst/>
          </c:spPr>
          <c:cat>
            <c:numRef>
              <c:f>DTE_demand_forecast!$C$140:$L$140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DTE_demand_forecast!$C$143:$L$143</c:f>
              <c:numCache>
                <c:formatCode>0</c:formatCode>
                <c:ptCount val="10"/>
                <c:pt idx="0">
                  <c:v>14990.287088507932</c:v>
                </c:pt>
                <c:pt idx="1">
                  <c:v>14790.422113933966</c:v>
                </c:pt>
                <c:pt idx="2">
                  <c:v>16801.29468917078</c:v>
                </c:pt>
                <c:pt idx="3">
                  <c:v>16738.941275205882</c:v>
                </c:pt>
                <c:pt idx="4">
                  <c:v>16670.797901372818</c:v>
                </c:pt>
                <c:pt idx="5">
                  <c:v>16596.657910642443</c:v>
                </c:pt>
                <c:pt idx="6">
                  <c:v>16516.3086956884</c:v>
                </c:pt>
                <c:pt idx="7">
                  <c:v>16429.531543538033</c:v>
                </c:pt>
                <c:pt idx="8">
                  <c:v>16336.101476389471</c:v>
                </c:pt>
                <c:pt idx="9">
                  <c:v>16235.787088503646</c:v>
                </c:pt>
              </c:numCache>
            </c:numRef>
          </c:val>
          <c:extLst>
            <c:ext xmlns:c16="http://schemas.microsoft.com/office/drawing/2014/chart" uri="{C3380CC4-5D6E-409C-BE32-E72D297353CC}">
              <c16:uniqueId val="{00000002-87EB-421A-89CA-DE357EFB09CC}"/>
            </c:ext>
          </c:extLst>
        </c:ser>
        <c:ser>
          <c:idx val="3"/>
          <c:order val="3"/>
          <c:tx>
            <c:strRef>
              <c:f>DTE_demand_forecast!$B$144</c:f>
              <c:strCache>
                <c:ptCount val="1"/>
                <c:pt idx="0">
                  <c:v>Deep Space Robotic</c:v>
                </c:pt>
              </c:strCache>
            </c:strRef>
          </c:tx>
          <c:spPr>
            <a:solidFill>
              <a:schemeClr val="accent4"/>
            </a:solidFill>
            <a:ln w="25400">
              <a:noFill/>
            </a:ln>
            <a:effectLst/>
          </c:spPr>
          <c:cat>
            <c:numRef>
              <c:f>DTE_demand_forecast!$C$140:$L$140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DTE_demand_forecast!$C$144:$L$144</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87EB-421A-89CA-DE357EFB09CC}"/>
            </c:ext>
          </c:extLst>
        </c:ser>
        <c:ser>
          <c:idx val="4"/>
          <c:order val="4"/>
          <c:tx>
            <c:strRef>
              <c:f>DTE_demand_forecast!$B$145</c:f>
              <c:strCache>
                <c:ptCount val="1"/>
                <c:pt idx="0">
                  <c:v>Near Earth Robotic - Low Latency &amp; Complex Needs</c:v>
                </c:pt>
              </c:strCache>
            </c:strRef>
          </c:tx>
          <c:spPr>
            <a:solidFill>
              <a:schemeClr val="accent5"/>
            </a:solidFill>
            <a:ln w="25400">
              <a:noFill/>
            </a:ln>
            <a:effectLst/>
          </c:spPr>
          <c:cat>
            <c:numRef>
              <c:f>DTE_demand_forecast!$C$140:$L$140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DTE_demand_forecast!$C$145:$L$145</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87EB-421A-89CA-DE357EFB09CC}"/>
            </c:ext>
          </c:extLst>
        </c:ser>
        <c:ser>
          <c:idx val="5"/>
          <c:order val="5"/>
          <c:tx>
            <c:strRef>
              <c:f>DTE_demand_forecast!$B$146</c:f>
              <c:strCache>
                <c:ptCount val="1"/>
                <c:pt idx="0">
                  <c:v>Mission Operations</c:v>
                </c:pt>
              </c:strCache>
            </c:strRef>
          </c:tx>
          <c:spPr>
            <a:solidFill>
              <a:schemeClr val="accent6"/>
            </a:solidFill>
            <a:ln w="25400">
              <a:noFill/>
            </a:ln>
            <a:effectLst/>
          </c:spPr>
          <c:cat>
            <c:numRef>
              <c:f>DTE_demand_forecast!$C$140:$L$140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DTE_demand_forecast!$C$146:$L$146</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87EB-421A-89CA-DE357EFB09CC}"/>
            </c:ext>
          </c:extLst>
        </c:ser>
        <c:ser>
          <c:idx val="6"/>
          <c:order val="6"/>
          <c:tx>
            <c:strRef>
              <c:f>DTE_demand_forecast!$B$147</c:f>
              <c:strCache>
                <c:ptCount val="1"/>
                <c:pt idx="0">
                  <c:v>Launch Events</c:v>
                </c:pt>
              </c:strCache>
            </c:strRef>
          </c:tx>
          <c:spPr>
            <a:solidFill>
              <a:schemeClr val="accent1">
                <a:lumMod val="60000"/>
              </a:schemeClr>
            </a:solidFill>
            <a:ln w="25400">
              <a:noFill/>
            </a:ln>
            <a:effectLst/>
          </c:spPr>
          <c:cat>
            <c:numRef>
              <c:f>DTE_demand_forecast!$C$140:$L$140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DTE_demand_forecast!$C$147:$L$147</c:f>
              <c:numCache>
                <c:formatCode>0</c:formatCode>
                <c:ptCount val="10"/>
                <c:pt idx="0">
                  <c:v>1472.7862655555555</c:v>
                </c:pt>
                <c:pt idx="1">
                  <c:v>1512.0012127777777</c:v>
                </c:pt>
                <c:pt idx="2">
                  <c:v>1460.5163599999998</c:v>
                </c:pt>
                <c:pt idx="3">
                  <c:v>1477.6676861111109</c:v>
                </c:pt>
                <c:pt idx="4">
                  <c:v>1442.2270488888887</c:v>
                </c:pt>
                <c:pt idx="5">
                  <c:v>1442.2270488888887</c:v>
                </c:pt>
                <c:pt idx="6">
                  <c:v>1442.2270488888887</c:v>
                </c:pt>
                <c:pt idx="7">
                  <c:v>1442.2270488888887</c:v>
                </c:pt>
                <c:pt idx="8">
                  <c:v>1442.2270488888887</c:v>
                </c:pt>
                <c:pt idx="9">
                  <c:v>1442.2270488888887</c:v>
                </c:pt>
              </c:numCache>
            </c:numRef>
          </c:val>
          <c:extLst>
            <c:ext xmlns:c16="http://schemas.microsoft.com/office/drawing/2014/chart" uri="{C3380CC4-5D6E-409C-BE32-E72D297353CC}">
              <c16:uniqueId val="{00000006-87EB-421A-89CA-DE357EFB09CC}"/>
            </c:ext>
          </c:extLst>
        </c:ser>
        <c:ser>
          <c:idx val="7"/>
          <c:order val="7"/>
          <c:tx>
            <c:strRef>
              <c:f>DTE_demand_forecast!$B$148</c:f>
              <c:strCache>
                <c:ptCount val="1"/>
                <c:pt idx="0">
                  <c:v>Terrestrial &amp; Aerial</c:v>
                </c:pt>
              </c:strCache>
            </c:strRef>
          </c:tx>
          <c:spPr>
            <a:solidFill>
              <a:schemeClr val="accent2">
                <a:lumMod val="60000"/>
              </a:schemeClr>
            </a:solidFill>
            <a:ln w="25400">
              <a:noFill/>
            </a:ln>
            <a:effectLst/>
          </c:spPr>
          <c:cat>
            <c:numRef>
              <c:f>DTE_demand_forecast!$C$140:$L$140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DTE_demand_forecast!$C$148:$L$148</c:f>
              <c:numCache>
                <c:formatCode>0</c:formatCode>
                <c:ptCount val="10"/>
                <c:pt idx="0">
                  <c:v>64004.337319000013</c:v>
                </c:pt>
                <c:pt idx="1">
                  <c:v>127401.18589624894</c:v>
                </c:pt>
                <c:pt idx="2">
                  <c:v>100146.86040297127</c:v>
                </c:pt>
                <c:pt idx="3">
                  <c:v>71861.737723627579</c:v>
                </c:pt>
                <c:pt idx="4">
                  <c:v>42433.707937305822</c:v>
                </c:pt>
                <c:pt idx="5">
                  <c:v>109206.69086227258</c:v>
                </c:pt>
                <c:pt idx="6">
                  <c:v>79379.88279360767</c:v>
                </c:pt>
                <c:pt idx="7">
                  <c:v>48352.101260985946</c:v>
                </c:pt>
                <c:pt idx="8">
                  <c:v>16087.238049076564</c:v>
                </c:pt>
                <c:pt idx="9">
                  <c:v>-17451.778996678913</c:v>
                </c:pt>
              </c:numCache>
            </c:numRef>
          </c:val>
          <c:extLst>
            <c:ext xmlns:c16="http://schemas.microsoft.com/office/drawing/2014/chart" uri="{C3380CC4-5D6E-409C-BE32-E72D297353CC}">
              <c16:uniqueId val="{00000007-87EB-421A-89CA-DE357EFB09CC}"/>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max val="140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Minutes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Demand</a:t>
            </a:r>
            <a:r>
              <a:rPr lang="en-US" baseline="0"/>
              <a:t> Forecast </a:t>
            </a:r>
            <a:r>
              <a:rPr lang="en-US"/>
              <a:t>(High)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3055071182579744"/>
          <c:y val="0.10605799289048519"/>
          <c:w val="0.83749276491559022"/>
          <c:h val="0.59813085403477473"/>
        </c:manualLayout>
      </c:layout>
      <c:areaChart>
        <c:grouping val="stacked"/>
        <c:varyColors val="0"/>
        <c:ser>
          <c:idx val="0"/>
          <c:order val="0"/>
          <c:tx>
            <c:strRef>
              <c:f>DTE_demand_forecast!$B$220</c:f>
              <c:strCache>
                <c:ptCount val="1"/>
                <c:pt idx="0">
                  <c:v>Human Space Flight</c:v>
                </c:pt>
              </c:strCache>
            </c:strRef>
          </c:tx>
          <c:spPr>
            <a:solidFill>
              <a:schemeClr val="accent1"/>
            </a:solidFill>
            <a:ln>
              <a:noFill/>
            </a:ln>
            <a:effectLst/>
          </c:spPr>
          <c:cat>
            <c:numRef>
              <c:f>DTE_demand_forecast!$C$219:$L$219</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DTE_demand_forecast!$C$220:$L$220</c:f>
              <c:numCache>
                <c:formatCode>0</c:formatCode>
                <c:ptCount val="10"/>
                <c:pt idx="0">
                  <c:v>609439.12110527779</c:v>
                </c:pt>
                <c:pt idx="1">
                  <c:v>519948.9128763667</c:v>
                </c:pt>
                <c:pt idx="2">
                  <c:v>425948.74252356874</c:v>
                </c:pt>
                <c:pt idx="3">
                  <c:v>330762.42415212019</c:v>
                </c:pt>
                <c:pt idx="4">
                  <c:v>230621.78307160601</c:v>
                </c:pt>
                <c:pt idx="5">
                  <c:v>126621.17546217027</c:v>
                </c:pt>
                <c:pt idx="6">
                  <c:v>18646.258919088054</c:v>
                </c:pt>
                <c:pt idx="7">
                  <c:v>-93420.338671942241</c:v>
                </c:pt>
                <c:pt idx="8">
                  <c:v>-209699.09458622185</c:v>
                </c:pt>
                <c:pt idx="9">
                  <c:v>-330313.66851764405</c:v>
                </c:pt>
              </c:numCache>
            </c:numRef>
          </c:val>
          <c:extLst>
            <c:ext xmlns:c16="http://schemas.microsoft.com/office/drawing/2014/chart" uri="{C3380CC4-5D6E-409C-BE32-E72D297353CC}">
              <c16:uniqueId val="{00000000-553E-4A6C-A8C9-9DACE9FB41FD}"/>
            </c:ext>
          </c:extLst>
        </c:ser>
        <c:ser>
          <c:idx val="1"/>
          <c:order val="1"/>
          <c:tx>
            <c:strRef>
              <c:f>DTE_demand_forecast!$B$221</c:f>
              <c:strCache>
                <c:ptCount val="1"/>
                <c:pt idx="0">
                  <c:v>Near Earth Robotic - LEO Science</c:v>
                </c:pt>
              </c:strCache>
            </c:strRef>
          </c:tx>
          <c:spPr>
            <a:solidFill>
              <a:schemeClr val="accent2"/>
            </a:solidFill>
            <a:ln>
              <a:noFill/>
            </a:ln>
            <a:effectLst/>
          </c:spPr>
          <c:cat>
            <c:numRef>
              <c:f>DTE_demand_forecast!$C$219:$L$219</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DTE_demand_forecast!$C$221:$L$221</c:f>
              <c:numCache>
                <c:formatCode>0</c:formatCode>
                <c:ptCount val="10"/>
                <c:pt idx="0">
                  <c:v>949239.69982833299</c:v>
                </c:pt>
                <c:pt idx="1">
                  <c:v>732639.52074998373</c:v>
                </c:pt>
                <c:pt idx="2">
                  <c:v>613972.8038851826</c:v>
                </c:pt>
                <c:pt idx="3">
                  <c:v>422643.50965651299</c:v>
                </c:pt>
                <c:pt idx="4">
                  <c:v>509729.94239948317</c:v>
                </c:pt>
                <c:pt idx="5">
                  <c:v>465661.51178215758</c:v>
                </c:pt>
                <c:pt idx="6">
                  <c:v>426965.71684917068</c:v>
                </c:pt>
                <c:pt idx="7">
                  <c:v>492773.98478532524</c:v>
                </c:pt>
                <c:pt idx="8">
                  <c:v>502566.70502327621</c:v>
                </c:pt>
                <c:pt idx="9">
                  <c:v>512555.27966598619</c:v>
                </c:pt>
              </c:numCache>
            </c:numRef>
          </c:val>
          <c:extLst>
            <c:ext xmlns:c16="http://schemas.microsoft.com/office/drawing/2014/chart" uri="{C3380CC4-5D6E-409C-BE32-E72D297353CC}">
              <c16:uniqueId val="{00000001-553E-4A6C-A8C9-9DACE9FB41FD}"/>
            </c:ext>
          </c:extLst>
        </c:ser>
        <c:ser>
          <c:idx val="2"/>
          <c:order val="2"/>
          <c:tx>
            <c:strRef>
              <c:f>DTE_demand_forecast!$B$222</c:f>
              <c:strCache>
                <c:ptCount val="1"/>
                <c:pt idx="0">
                  <c:v>Near Earth Robotic - GEO and Near Earth</c:v>
                </c:pt>
              </c:strCache>
            </c:strRef>
          </c:tx>
          <c:spPr>
            <a:solidFill>
              <a:schemeClr val="accent3"/>
            </a:solidFill>
            <a:ln>
              <a:noFill/>
            </a:ln>
            <a:effectLst/>
          </c:spPr>
          <c:cat>
            <c:numRef>
              <c:f>DTE_demand_forecast!$C$219:$L$219</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DTE_demand_forecast!$C$222:$L$222</c:f>
              <c:numCache>
                <c:formatCode>0</c:formatCode>
                <c:ptCount val="10"/>
                <c:pt idx="0">
                  <c:v>15204.330498888885</c:v>
                </c:pt>
                <c:pt idx="1">
                  <c:v>15227.070671111109</c:v>
                </c:pt>
                <c:pt idx="2">
                  <c:v>17469.366981651809</c:v>
                </c:pt>
                <c:pt idx="3">
                  <c:v>17647.519592980083</c:v>
                </c:pt>
                <c:pt idx="4">
                  <c:v>17829.235256534921</c:v>
                </c:pt>
                <c:pt idx="5">
                  <c:v>18014.585233360856</c:v>
                </c:pt>
                <c:pt idx="6">
                  <c:v>18203.642209723315</c:v>
                </c:pt>
                <c:pt idx="7">
                  <c:v>18396.480325613018</c:v>
                </c:pt>
                <c:pt idx="8">
                  <c:v>18593.175203820516</c:v>
                </c:pt>
                <c:pt idx="9">
                  <c:v>18793.803979592165</c:v>
                </c:pt>
              </c:numCache>
            </c:numRef>
          </c:val>
          <c:extLst>
            <c:ext xmlns:c16="http://schemas.microsoft.com/office/drawing/2014/chart" uri="{C3380CC4-5D6E-409C-BE32-E72D297353CC}">
              <c16:uniqueId val="{00000002-553E-4A6C-A8C9-9DACE9FB41FD}"/>
            </c:ext>
          </c:extLst>
        </c:ser>
        <c:ser>
          <c:idx val="3"/>
          <c:order val="3"/>
          <c:tx>
            <c:strRef>
              <c:f>DTE_demand_forecast!$B$223</c:f>
              <c:strCache>
                <c:ptCount val="1"/>
                <c:pt idx="0">
                  <c:v>Deep Space Robotic</c:v>
                </c:pt>
              </c:strCache>
            </c:strRef>
          </c:tx>
          <c:spPr>
            <a:solidFill>
              <a:schemeClr val="accent4"/>
            </a:solidFill>
            <a:ln w="25400">
              <a:noFill/>
            </a:ln>
            <a:effectLst/>
          </c:spPr>
          <c:cat>
            <c:numRef>
              <c:f>DTE_demand_forecast!$C$219:$L$219</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DTE_demand_forecast!$C$223:$L$223</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553E-4A6C-A8C9-9DACE9FB41FD}"/>
            </c:ext>
          </c:extLst>
        </c:ser>
        <c:ser>
          <c:idx val="4"/>
          <c:order val="4"/>
          <c:tx>
            <c:strRef>
              <c:f>DTE_demand_forecast!$B$224</c:f>
              <c:strCache>
                <c:ptCount val="1"/>
                <c:pt idx="0">
                  <c:v>Near Earth Robotic - Low Latency &amp; Complex Needs</c:v>
                </c:pt>
              </c:strCache>
            </c:strRef>
          </c:tx>
          <c:spPr>
            <a:solidFill>
              <a:schemeClr val="accent5"/>
            </a:solidFill>
            <a:ln w="25400">
              <a:noFill/>
            </a:ln>
            <a:effectLst/>
          </c:spPr>
          <c:cat>
            <c:numRef>
              <c:f>DTE_demand_forecast!$C$219:$L$219</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DTE_demand_forecast!$C$224:$L$224</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553E-4A6C-A8C9-9DACE9FB41FD}"/>
            </c:ext>
          </c:extLst>
        </c:ser>
        <c:ser>
          <c:idx val="5"/>
          <c:order val="5"/>
          <c:tx>
            <c:strRef>
              <c:f>DTE_demand_forecast!$B$225</c:f>
              <c:strCache>
                <c:ptCount val="1"/>
                <c:pt idx="0">
                  <c:v>Mission Operations</c:v>
                </c:pt>
              </c:strCache>
            </c:strRef>
          </c:tx>
          <c:spPr>
            <a:solidFill>
              <a:schemeClr val="accent6"/>
            </a:solidFill>
            <a:ln w="25400">
              <a:noFill/>
            </a:ln>
            <a:effectLst/>
          </c:spPr>
          <c:cat>
            <c:numRef>
              <c:f>DTE_demand_forecast!$C$219:$L$219</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DTE_demand_forecast!$C$225:$L$225</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553E-4A6C-A8C9-9DACE9FB41FD}"/>
            </c:ext>
          </c:extLst>
        </c:ser>
        <c:ser>
          <c:idx val="6"/>
          <c:order val="6"/>
          <c:tx>
            <c:strRef>
              <c:f>DTE_demand_forecast!$B$226</c:f>
              <c:strCache>
                <c:ptCount val="1"/>
                <c:pt idx="0">
                  <c:v>Launch Events</c:v>
                </c:pt>
              </c:strCache>
            </c:strRef>
          </c:tx>
          <c:spPr>
            <a:solidFill>
              <a:schemeClr val="accent1">
                <a:lumMod val="60000"/>
              </a:schemeClr>
            </a:solidFill>
            <a:ln w="25400">
              <a:noFill/>
            </a:ln>
            <a:effectLst/>
          </c:spPr>
          <c:cat>
            <c:numRef>
              <c:f>DTE_demand_forecast!$C$219:$L$219</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DTE_demand_forecast!$C$226:$L$226</c:f>
              <c:numCache>
                <c:formatCode>0</c:formatCode>
                <c:ptCount val="10"/>
                <c:pt idx="0">
                  <c:v>1472.7862655555555</c:v>
                </c:pt>
                <c:pt idx="1">
                  <c:v>1512.0012127777777</c:v>
                </c:pt>
                <c:pt idx="2">
                  <c:v>1460.5163599999998</c:v>
                </c:pt>
                <c:pt idx="3">
                  <c:v>1477.6676861111109</c:v>
                </c:pt>
                <c:pt idx="4">
                  <c:v>1442.2270488888887</c:v>
                </c:pt>
                <c:pt idx="5">
                  <c:v>1442.2270488888887</c:v>
                </c:pt>
                <c:pt idx="6">
                  <c:v>1442.2270488888887</c:v>
                </c:pt>
                <c:pt idx="7">
                  <c:v>1442.2270488888887</c:v>
                </c:pt>
                <c:pt idx="8">
                  <c:v>1442.2270488888887</c:v>
                </c:pt>
                <c:pt idx="9">
                  <c:v>1442.2270488888887</c:v>
                </c:pt>
              </c:numCache>
            </c:numRef>
          </c:val>
          <c:extLst>
            <c:ext xmlns:c16="http://schemas.microsoft.com/office/drawing/2014/chart" uri="{C3380CC4-5D6E-409C-BE32-E72D297353CC}">
              <c16:uniqueId val="{00000006-553E-4A6C-A8C9-9DACE9FB41FD}"/>
            </c:ext>
          </c:extLst>
        </c:ser>
        <c:ser>
          <c:idx val="7"/>
          <c:order val="7"/>
          <c:tx>
            <c:strRef>
              <c:f>DTE_demand_forecast!$B$227</c:f>
              <c:strCache>
                <c:ptCount val="1"/>
                <c:pt idx="0">
                  <c:v>Terrestrial &amp; Aerial</c:v>
                </c:pt>
              </c:strCache>
            </c:strRef>
          </c:tx>
          <c:spPr>
            <a:solidFill>
              <a:schemeClr val="accent2">
                <a:lumMod val="60000"/>
              </a:schemeClr>
            </a:solidFill>
            <a:ln w="25400">
              <a:noFill/>
            </a:ln>
            <a:effectLst/>
          </c:spPr>
          <c:cat>
            <c:numRef>
              <c:f>DTE_demand_forecast!$C$219:$L$219</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DTE_demand_forecast!$C$227:$L$227</c:f>
              <c:numCache>
                <c:formatCode>0</c:formatCode>
                <c:ptCount val="10"/>
                <c:pt idx="0">
                  <c:v>64004.337319000013</c:v>
                </c:pt>
                <c:pt idx="1">
                  <c:v>127401.18589624894</c:v>
                </c:pt>
                <c:pt idx="2">
                  <c:v>100146.86040297127</c:v>
                </c:pt>
                <c:pt idx="3">
                  <c:v>71861.737723627579</c:v>
                </c:pt>
                <c:pt idx="4">
                  <c:v>42433.707937305822</c:v>
                </c:pt>
                <c:pt idx="5">
                  <c:v>109206.69086227258</c:v>
                </c:pt>
                <c:pt idx="6">
                  <c:v>79379.88279360767</c:v>
                </c:pt>
                <c:pt idx="7">
                  <c:v>48352.101260985946</c:v>
                </c:pt>
                <c:pt idx="8">
                  <c:v>16087.238049076564</c:v>
                </c:pt>
                <c:pt idx="9">
                  <c:v>-17451.778996678913</c:v>
                </c:pt>
              </c:numCache>
            </c:numRef>
          </c:val>
          <c:extLst>
            <c:ext xmlns:c16="http://schemas.microsoft.com/office/drawing/2014/chart" uri="{C3380CC4-5D6E-409C-BE32-E72D297353CC}">
              <c16:uniqueId val="{00000007-553E-4A6C-A8C9-9DACE9FB41FD}"/>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Minutes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Demand Forecast (Low)</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5781468523627276"/>
          <c:y val="0.16999583891062464"/>
          <c:w val="0.79973806443103357"/>
          <c:h val="0.57664470395815959"/>
        </c:manualLayout>
      </c:layout>
      <c:areaChart>
        <c:grouping val="stacked"/>
        <c:varyColors val="0"/>
        <c:ser>
          <c:idx val="0"/>
          <c:order val="0"/>
          <c:tx>
            <c:strRef>
              <c:f>DTE_demand_forecast!$B$75</c:f>
              <c:strCache>
                <c:ptCount val="1"/>
                <c:pt idx="0">
                  <c:v>Existing</c:v>
                </c:pt>
              </c:strCache>
            </c:strRef>
          </c:tx>
          <c:spPr>
            <a:solidFill>
              <a:schemeClr val="accent1"/>
            </a:solidFill>
            <a:ln>
              <a:noFill/>
            </a:ln>
            <a:effectLst/>
          </c:spPr>
          <c:cat>
            <c:numRef>
              <c:f>DTE_demand_forecast!$C$74:$L$74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DTE_demand_forecast!$C$75:$L$75</c:f>
              <c:numCache>
                <c:formatCode>0.00</c:formatCode>
                <c:ptCount val="10"/>
                <c:pt idx="0">
                  <c:v>1752490.7143116661</c:v>
                </c:pt>
                <c:pt idx="1">
                  <c:v>1484345.8994103172</c:v>
                </c:pt>
                <c:pt idx="2">
                  <c:v>1340904.3555357142</c:v>
                </c:pt>
                <c:pt idx="3">
                  <c:v>1077474.1436682539</c:v>
                </c:pt>
                <c:pt idx="4">
                  <c:v>1075186.4077471427</c:v>
                </c:pt>
                <c:pt idx="5">
                  <c:v>936868.51792507921</c:v>
                </c:pt>
                <c:pt idx="6">
                  <c:v>801695.03898690466</c:v>
                </c:pt>
                <c:pt idx="7">
                  <c:v>797898.18758468248</c:v>
                </c:pt>
                <c:pt idx="8">
                  <c:v>797898.18758468248</c:v>
                </c:pt>
                <c:pt idx="9">
                  <c:v>797898.18758468248</c:v>
                </c:pt>
              </c:numCache>
            </c:numRef>
          </c:val>
          <c:extLst>
            <c:ext xmlns:c16="http://schemas.microsoft.com/office/drawing/2014/chart" uri="{C3380CC4-5D6E-409C-BE32-E72D297353CC}">
              <c16:uniqueId val="{00000000-43F5-4264-9E36-2338D4F3E918}"/>
            </c:ext>
          </c:extLst>
        </c:ser>
        <c:ser>
          <c:idx val="1"/>
          <c:order val="1"/>
          <c:tx>
            <c:strRef>
              <c:f>DTE_demand_forecast!$B$76</c:f>
              <c:strCache>
                <c:ptCount val="1"/>
                <c:pt idx="0">
                  <c:v>Replacement</c:v>
                </c:pt>
              </c:strCache>
            </c:strRef>
          </c:tx>
          <c:spPr>
            <a:solidFill>
              <a:schemeClr val="accent2"/>
            </a:solidFill>
            <a:ln>
              <a:noFill/>
            </a:ln>
            <a:effectLst/>
          </c:spPr>
          <c:cat>
            <c:numRef>
              <c:f>DTE_demand_forecast!$C$74:$L$74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DTE_demand_forecast!$C$76:$L$76</c:f>
              <c:numCache>
                <c:formatCode>0</c:formatCode>
                <c:ptCount val="10"/>
                <c:pt idx="0">
                  <c:v>-120773.43581276984</c:v>
                </c:pt>
                <c:pt idx="1">
                  <c:v>-103056.35294901711</c:v>
                </c:pt>
                <c:pt idx="2">
                  <c:v>-202649.63912012146</c:v>
                </c:pt>
                <c:pt idx="3">
                  <c:v>-267523.75892871543</c:v>
                </c:pt>
                <c:pt idx="4">
                  <c:v>-317151.5224364695</c:v>
                </c:pt>
                <c:pt idx="5">
                  <c:v>-269893.12185293261</c:v>
                </c:pt>
                <c:pt idx="6">
                  <c:v>-321357.07506766991</c:v>
                </c:pt>
                <c:pt idx="7">
                  <c:v>-405373.87990585214</c:v>
                </c:pt>
                <c:pt idx="8">
                  <c:v>-555051.40562447184</c:v>
                </c:pt>
                <c:pt idx="9">
                  <c:v>-710553.88281987421</c:v>
                </c:pt>
              </c:numCache>
            </c:numRef>
          </c:val>
          <c:extLst>
            <c:ext xmlns:c16="http://schemas.microsoft.com/office/drawing/2014/chart" uri="{C3380CC4-5D6E-409C-BE32-E72D297353CC}">
              <c16:uniqueId val="{00000001-43F5-4264-9E36-2338D4F3E918}"/>
            </c:ext>
          </c:extLst>
        </c:ser>
        <c:dLbls>
          <c:showLegendKey val="0"/>
          <c:showVal val="0"/>
          <c:showCatName val="0"/>
          <c:showSerName val="0"/>
          <c:showPercent val="0"/>
          <c:showBubbleSize val="0"/>
        </c:dLbls>
        <c:axId val="1043470975"/>
        <c:axId val="1043473471"/>
      </c:areaChart>
      <c:catAx>
        <c:axId val="104347097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473471"/>
        <c:crosses val="autoZero"/>
        <c:auto val="1"/>
        <c:lblAlgn val="ctr"/>
        <c:lblOffset val="100"/>
        <c:noMultiLvlLbl val="0"/>
      </c:catAx>
      <c:valAx>
        <c:axId val="1043473471"/>
        <c:scaling>
          <c:orientation val="minMax"/>
          <c:max val="140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Minutes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470975"/>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Demand Forecast </a:t>
            </a:r>
            <a:r>
              <a:rPr lang="en-US"/>
              <a:t>(Baseline)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674349368027282"/>
          <c:y val="0.16999583891062464"/>
          <c:w val="0.79011781286457805"/>
          <c:h val="0.57664470395815959"/>
        </c:manualLayout>
      </c:layout>
      <c:areaChart>
        <c:grouping val="stacked"/>
        <c:varyColors val="0"/>
        <c:ser>
          <c:idx val="0"/>
          <c:order val="0"/>
          <c:tx>
            <c:strRef>
              <c:f>DTE_demand_forecast!$B$154</c:f>
              <c:strCache>
                <c:ptCount val="1"/>
                <c:pt idx="0">
                  <c:v>Existing</c:v>
                </c:pt>
              </c:strCache>
            </c:strRef>
          </c:tx>
          <c:spPr>
            <a:solidFill>
              <a:schemeClr val="accent1"/>
            </a:solidFill>
            <a:ln>
              <a:noFill/>
            </a:ln>
            <a:effectLst/>
          </c:spPr>
          <c:cat>
            <c:numRef>
              <c:f>DTE_demand_forecast!$C$153:$L$153</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DTE_demand_forecast!$C$154:$L$154</c:f>
              <c:numCache>
                <c:formatCode>0.00</c:formatCode>
                <c:ptCount val="10"/>
                <c:pt idx="0">
                  <c:v>1752490.7143116661</c:v>
                </c:pt>
                <c:pt idx="1">
                  <c:v>1484345.8994103172</c:v>
                </c:pt>
                <c:pt idx="2">
                  <c:v>1340904.3555357142</c:v>
                </c:pt>
                <c:pt idx="3">
                  <c:v>1077474.1436682539</c:v>
                </c:pt>
                <c:pt idx="4">
                  <c:v>1075186.4077471427</c:v>
                </c:pt>
                <c:pt idx="5">
                  <c:v>936868.51792507921</c:v>
                </c:pt>
                <c:pt idx="6">
                  <c:v>801695.03898690466</c:v>
                </c:pt>
                <c:pt idx="7">
                  <c:v>797898.18758468248</c:v>
                </c:pt>
                <c:pt idx="8">
                  <c:v>797898.18758468248</c:v>
                </c:pt>
                <c:pt idx="9">
                  <c:v>797898.18758468248</c:v>
                </c:pt>
              </c:numCache>
            </c:numRef>
          </c:val>
          <c:extLst>
            <c:ext xmlns:c16="http://schemas.microsoft.com/office/drawing/2014/chart" uri="{C3380CC4-5D6E-409C-BE32-E72D297353CC}">
              <c16:uniqueId val="{00000000-9118-48D4-91FC-0A778305BA64}"/>
            </c:ext>
          </c:extLst>
        </c:ser>
        <c:ser>
          <c:idx val="1"/>
          <c:order val="1"/>
          <c:tx>
            <c:strRef>
              <c:f>DTE_demand_forecast!$B$155</c:f>
              <c:strCache>
                <c:ptCount val="1"/>
                <c:pt idx="0">
                  <c:v>Replacement</c:v>
                </c:pt>
              </c:strCache>
            </c:strRef>
          </c:tx>
          <c:spPr>
            <a:solidFill>
              <a:schemeClr val="accent2"/>
            </a:solidFill>
            <a:ln>
              <a:noFill/>
            </a:ln>
            <a:effectLst/>
          </c:spPr>
          <c:cat>
            <c:numRef>
              <c:f>DTE_demand_forecast!$C$153:$L$153</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DTE_demand_forecast!$C$155:$L$155</c:f>
              <c:numCache>
                <c:formatCode>0</c:formatCode>
                <c:ptCount val="10"/>
                <c:pt idx="0">
                  <c:v>-115482.04037610318</c:v>
                </c:pt>
                <c:pt idx="1">
                  <c:v>-92802.961097750464</c:v>
                </c:pt>
                <c:pt idx="2">
                  <c:v>-189061.13908251349</c:v>
                </c:pt>
                <c:pt idx="3">
                  <c:v>-244906.35942824476</c:v>
                </c:pt>
                <c:pt idx="4">
                  <c:v>-288314.33807336941</c:v>
                </c:pt>
                <c:pt idx="5">
                  <c:v>-234596.40819249806</c:v>
                </c:pt>
                <c:pt idx="6">
                  <c:v>-279353.98581175285</c:v>
                </c:pt>
                <c:pt idx="7">
                  <c:v>-356410.27871609735</c:v>
                </c:pt>
                <c:pt idx="8">
                  <c:v>-498865.67325922835</c:v>
                </c:pt>
                <c:pt idx="9">
                  <c:v>-646876.71947259805</c:v>
                </c:pt>
              </c:numCache>
            </c:numRef>
          </c:val>
          <c:extLst>
            <c:ext xmlns:c16="http://schemas.microsoft.com/office/drawing/2014/chart" uri="{C3380CC4-5D6E-409C-BE32-E72D297353CC}">
              <c16:uniqueId val="{00000001-9118-48D4-91FC-0A778305BA64}"/>
            </c:ext>
          </c:extLst>
        </c:ser>
        <c:dLbls>
          <c:showLegendKey val="0"/>
          <c:showVal val="0"/>
          <c:showCatName val="0"/>
          <c:showSerName val="0"/>
          <c:showPercent val="0"/>
          <c:showBubbleSize val="0"/>
        </c:dLbls>
        <c:axId val="1043470975"/>
        <c:axId val="1043473471"/>
      </c:areaChart>
      <c:catAx>
        <c:axId val="104347097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473471"/>
        <c:crosses val="autoZero"/>
        <c:auto val="1"/>
        <c:lblAlgn val="ctr"/>
        <c:lblOffset val="100"/>
        <c:noMultiLvlLbl val="0"/>
      </c:catAx>
      <c:valAx>
        <c:axId val="1043473471"/>
        <c:scaling>
          <c:orientation val="minMax"/>
          <c:max val="140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Minutes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470975"/>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Demand Forecast (High)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674349368027282"/>
          <c:y val="0.16999577756044043"/>
          <c:w val="0.79011781286457805"/>
          <c:h val="0.58581152040304452"/>
        </c:manualLayout>
      </c:layout>
      <c:areaChart>
        <c:grouping val="stacked"/>
        <c:varyColors val="0"/>
        <c:ser>
          <c:idx val="0"/>
          <c:order val="0"/>
          <c:tx>
            <c:strRef>
              <c:f>DTE_demand_forecast!$B$233</c:f>
              <c:strCache>
                <c:ptCount val="1"/>
                <c:pt idx="0">
                  <c:v>Existing</c:v>
                </c:pt>
              </c:strCache>
            </c:strRef>
          </c:tx>
          <c:spPr>
            <a:solidFill>
              <a:schemeClr val="accent1"/>
            </a:solidFill>
            <a:ln>
              <a:noFill/>
            </a:ln>
            <a:effectLst/>
          </c:spPr>
          <c:cat>
            <c:numRef>
              <c:f>DTE_demand_forecast!$C$232:$L$232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DTE_demand_forecast!$C$233:$L$233</c:f>
              <c:numCache>
                <c:formatCode>0.00</c:formatCode>
                <c:ptCount val="10"/>
                <c:pt idx="0">
                  <c:v>1752490.7143116661</c:v>
                </c:pt>
                <c:pt idx="1">
                  <c:v>1484345.8994103172</c:v>
                </c:pt>
                <c:pt idx="2">
                  <c:v>1340904.3555357142</c:v>
                </c:pt>
                <c:pt idx="3">
                  <c:v>1077474.1436682539</c:v>
                </c:pt>
                <c:pt idx="4">
                  <c:v>1075186.4077471427</c:v>
                </c:pt>
                <c:pt idx="5">
                  <c:v>936868.51792507921</c:v>
                </c:pt>
                <c:pt idx="6">
                  <c:v>801695.03898690466</c:v>
                </c:pt>
                <c:pt idx="7">
                  <c:v>797898.18758468248</c:v>
                </c:pt>
                <c:pt idx="8">
                  <c:v>797898.18758468248</c:v>
                </c:pt>
                <c:pt idx="9">
                  <c:v>797898.18758468248</c:v>
                </c:pt>
              </c:numCache>
            </c:numRef>
          </c:val>
          <c:extLst>
            <c:ext xmlns:c16="http://schemas.microsoft.com/office/drawing/2014/chart" uri="{C3380CC4-5D6E-409C-BE32-E72D297353CC}">
              <c16:uniqueId val="{00000000-78B1-4104-91EF-7D6EC5F8FE67}"/>
            </c:ext>
          </c:extLst>
        </c:ser>
        <c:ser>
          <c:idx val="1"/>
          <c:order val="1"/>
          <c:tx>
            <c:strRef>
              <c:f>DTE_demand_forecast!$B$234</c:f>
              <c:strCache>
                <c:ptCount val="1"/>
                <c:pt idx="0">
                  <c:v>Replacement</c:v>
                </c:pt>
              </c:strCache>
            </c:strRef>
          </c:tx>
          <c:spPr>
            <a:solidFill>
              <a:schemeClr val="accent2"/>
            </a:solidFill>
            <a:ln>
              <a:noFill/>
            </a:ln>
            <a:effectLst/>
          </c:spPr>
          <c:cat>
            <c:numRef>
              <c:f>DTE_demand_forecast!$C$232:$L$232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DTE_demand_forecast!$C$234:$L$234</c:f>
              <c:numCache>
                <c:formatCode>0</c:formatCode>
                <c:ptCount val="10"/>
                <c:pt idx="0">
                  <c:v>-112622.29924738889</c:v>
                </c:pt>
                <c:pt idx="1">
                  <c:v>-87239.616614939965</c:v>
                </c:pt>
                <c:pt idx="2">
                  <c:v>-181598.81677122845</c:v>
                </c:pt>
                <c:pt idx="3">
                  <c:v>-232689.08136023523</c:v>
                </c:pt>
                <c:pt idx="4">
                  <c:v>-272737.30853665725</c:v>
                </c:pt>
                <c:pt idx="5">
                  <c:v>-215530.12403956242</c:v>
                </c:pt>
                <c:pt idx="6">
                  <c:v>-256665.10766975945</c:v>
                </c:pt>
                <c:pt idx="7">
                  <c:v>-329961.52933914494</c:v>
                </c:pt>
                <c:pt idx="8">
                  <c:v>-468515.73334917554</c:v>
                </c:pt>
                <c:pt idx="9">
                  <c:v>-612480.12090787152</c:v>
                </c:pt>
              </c:numCache>
            </c:numRef>
          </c:val>
          <c:extLst>
            <c:ext xmlns:c16="http://schemas.microsoft.com/office/drawing/2014/chart" uri="{C3380CC4-5D6E-409C-BE32-E72D297353CC}">
              <c16:uniqueId val="{00000001-78B1-4104-91EF-7D6EC5F8FE67}"/>
            </c:ext>
          </c:extLst>
        </c:ser>
        <c:dLbls>
          <c:showLegendKey val="0"/>
          <c:showVal val="0"/>
          <c:showCatName val="0"/>
          <c:showSerName val="0"/>
          <c:showPercent val="0"/>
          <c:showBubbleSize val="0"/>
        </c:dLbls>
        <c:axId val="1043470975"/>
        <c:axId val="1043473471"/>
      </c:areaChart>
      <c:catAx>
        <c:axId val="104347097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473471"/>
        <c:crosses val="autoZero"/>
        <c:auto val="1"/>
        <c:lblAlgn val="ctr"/>
        <c:lblOffset val="100"/>
        <c:noMultiLvlLbl val="0"/>
      </c:catAx>
      <c:valAx>
        <c:axId val="104347347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Minutes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470975"/>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SR Demand Forecast by Use Case (Low)</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5048881531606909"/>
          <c:y val="0.10605799289048519"/>
          <c:w val="0.81755463596923572"/>
          <c:h val="0.60682971253468532"/>
        </c:manualLayout>
      </c:layout>
      <c:areaChart>
        <c:grouping val="stacked"/>
        <c:varyColors val="0"/>
        <c:ser>
          <c:idx val="0"/>
          <c:order val="0"/>
          <c:tx>
            <c:strRef>
              <c:f>SR_demand_forecast!$B$56</c:f>
              <c:strCache>
                <c:ptCount val="1"/>
                <c:pt idx="0">
                  <c:v>Human Space Flight</c:v>
                </c:pt>
              </c:strCache>
            </c:strRef>
          </c:tx>
          <c:spPr>
            <a:solidFill>
              <a:schemeClr val="accent1"/>
            </a:solidFill>
            <a:ln>
              <a:noFill/>
            </a:ln>
            <a:effectLst/>
          </c:spPr>
          <c:cat>
            <c:numRef>
              <c:f>SR_demand_forecast!$C$55:$L$55</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SR_demand_forecast!$C$56:$L$56</c:f>
              <c:numCache>
                <c:formatCode>_(* #,##0_);_(* \(#,##0\);_(* "-"??_);_(@_)</c:formatCode>
                <c:ptCount val="10"/>
                <c:pt idx="0">
                  <c:v>402076.5</c:v>
                </c:pt>
                <c:pt idx="1">
                  <c:v>342339.42</c:v>
                </c:pt>
                <c:pt idx="2">
                  <c:v>280235.83259999997</c:v>
                </c:pt>
                <c:pt idx="3">
                  <c:v>215694.97233600001</c:v>
                </c:pt>
                <c:pt idx="4">
                  <c:v>148644.18972840003</c:v>
                </c:pt>
                <c:pt idx="5">
                  <c:v>79008.904227561608</c:v>
                </c:pt>
                <c:pt idx="6">
                  <c:v>6712.556030798296</c:v>
                </c:pt>
                <c:pt idx="7">
                  <c:v>-68323.443255526479</c:v>
                </c:pt>
                <c:pt idx="8">
                  <c:v>-146179.76113571669</c:v>
                </c:pt>
                <c:pt idx="9">
                  <c:v>-226939.19595381222</c:v>
                </c:pt>
              </c:numCache>
            </c:numRef>
          </c:val>
          <c:extLst>
            <c:ext xmlns:c16="http://schemas.microsoft.com/office/drawing/2014/chart" uri="{C3380CC4-5D6E-409C-BE32-E72D297353CC}">
              <c16:uniqueId val="{00000000-12ED-4526-9F4D-19E4028C8D7F}"/>
            </c:ext>
          </c:extLst>
        </c:ser>
        <c:ser>
          <c:idx val="1"/>
          <c:order val="1"/>
          <c:tx>
            <c:strRef>
              <c:f>SR_demand_forecast!$B$57</c:f>
              <c:strCache>
                <c:ptCount val="1"/>
                <c:pt idx="0">
                  <c:v>Near Earth Robotic - LEO Science</c:v>
                </c:pt>
              </c:strCache>
            </c:strRef>
          </c:tx>
          <c:spPr>
            <a:solidFill>
              <a:schemeClr val="accent2"/>
            </a:solidFill>
            <a:ln>
              <a:noFill/>
            </a:ln>
            <a:effectLst/>
          </c:spPr>
          <c:cat>
            <c:numRef>
              <c:f>SR_demand_forecast!$C$55:$L$55</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SR_demand_forecast!$C$57:$L$57</c:f>
              <c:numCache>
                <c:formatCode>_(* #,##0_);_(* \(#,##0\);_(* "-"??_);_(@_)</c:formatCode>
                <c:ptCount val="10"/>
                <c:pt idx="0">
                  <c:v>1080935.4388888888</c:v>
                </c:pt>
                <c:pt idx="1">
                  <c:v>996092.54422222218</c:v>
                </c:pt>
                <c:pt idx="2">
                  <c:v>1046574.0665488889</c:v>
                </c:pt>
                <c:pt idx="3">
                  <c:v>1036418.959020711</c:v>
                </c:pt>
                <c:pt idx="4">
                  <c:v>1069594.6991159599</c:v>
                </c:pt>
                <c:pt idx="5">
                  <c:v>1077714.4275647439</c:v>
                </c:pt>
                <c:pt idx="6">
                  <c:v>1093975.2753384996</c:v>
                </c:pt>
                <c:pt idx="7">
                  <c:v>1108702.206997768</c:v>
                </c:pt>
                <c:pt idx="8">
                  <c:v>1106097.2024524962</c:v>
                </c:pt>
                <c:pt idx="9">
                  <c:v>1102971.1969981694</c:v>
                </c:pt>
              </c:numCache>
            </c:numRef>
          </c:val>
          <c:extLst>
            <c:ext xmlns:c16="http://schemas.microsoft.com/office/drawing/2014/chart" uri="{C3380CC4-5D6E-409C-BE32-E72D297353CC}">
              <c16:uniqueId val="{00000001-12ED-4526-9F4D-19E4028C8D7F}"/>
            </c:ext>
          </c:extLst>
        </c:ser>
        <c:ser>
          <c:idx val="2"/>
          <c:order val="2"/>
          <c:tx>
            <c:strRef>
              <c:f>SR_demand_forecast!$B$58</c:f>
              <c:strCache>
                <c:ptCount val="1"/>
                <c:pt idx="0">
                  <c:v>Near Earth Robotic - GEO and Near Earth</c:v>
                </c:pt>
              </c:strCache>
            </c:strRef>
          </c:tx>
          <c:spPr>
            <a:solidFill>
              <a:schemeClr val="accent3"/>
            </a:solidFill>
            <a:ln>
              <a:noFill/>
            </a:ln>
            <a:effectLst/>
          </c:spPr>
          <c:cat>
            <c:numRef>
              <c:f>SR_demand_forecast!$C$55:$L$55</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SR_demand_forecast!$C$58:$L$58</c:f>
              <c:numCache>
                <c:formatCode>_(* #,##0_);_(* \(#,##0\);_(* "-"??_);_(@_)</c:formatCode>
                <c:ptCount val="10"/>
                <c:pt idx="0">
                  <c:v>6856.4285714285716</c:v>
                </c:pt>
                <c:pt idx="1">
                  <c:v>6610.5428571428574</c:v>
                </c:pt>
                <c:pt idx="2">
                  <c:v>9101.2705714285712</c:v>
                </c:pt>
                <c:pt idx="3">
                  <c:v>9032.3960914285708</c:v>
                </c:pt>
                <c:pt idx="4">
                  <c:v>8957.1261240000003</c:v>
                </c:pt>
                <c:pt idx="5">
                  <c:v>8875.2323994377148</c:v>
                </c:pt>
                <c:pt idx="6">
                  <c:v>8786.4800754433381</c:v>
                </c:pt>
                <c:pt idx="7">
                  <c:v>8690.6275655294085</c:v>
                </c:pt>
                <c:pt idx="8">
                  <c:v>8587.4263631887479</c:v>
                </c:pt>
                <c:pt idx="9">
                  <c:v>8476.6208617282482</c:v>
                </c:pt>
              </c:numCache>
            </c:numRef>
          </c:val>
          <c:extLst>
            <c:ext xmlns:c16="http://schemas.microsoft.com/office/drawing/2014/chart" uri="{C3380CC4-5D6E-409C-BE32-E72D297353CC}">
              <c16:uniqueId val="{00000002-12ED-4526-9F4D-19E4028C8D7F}"/>
            </c:ext>
          </c:extLst>
        </c:ser>
        <c:ser>
          <c:idx val="3"/>
          <c:order val="3"/>
          <c:tx>
            <c:strRef>
              <c:f>SR_demand_forecast!$B$59</c:f>
              <c:strCache>
                <c:ptCount val="1"/>
                <c:pt idx="0">
                  <c:v>Deep Space Robotic</c:v>
                </c:pt>
              </c:strCache>
            </c:strRef>
          </c:tx>
          <c:spPr>
            <a:solidFill>
              <a:schemeClr val="accent4"/>
            </a:solidFill>
            <a:ln w="25400">
              <a:noFill/>
            </a:ln>
            <a:effectLst/>
          </c:spPr>
          <c:cat>
            <c:numRef>
              <c:f>SR_demand_forecast!$C$55:$L$55</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SR_demand_forecast!$C$59:$L$59</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12ED-4526-9F4D-19E4028C8D7F}"/>
            </c:ext>
          </c:extLst>
        </c:ser>
        <c:ser>
          <c:idx val="4"/>
          <c:order val="4"/>
          <c:tx>
            <c:strRef>
              <c:f>SR_demand_forecast!$B$60</c:f>
              <c:strCache>
                <c:ptCount val="1"/>
                <c:pt idx="0">
                  <c:v>Near Earth Robotic - Low Latency &amp; Complex Needs</c:v>
                </c:pt>
              </c:strCache>
            </c:strRef>
          </c:tx>
          <c:spPr>
            <a:solidFill>
              <a:schemeClr val="accent5"/>
            </a:solidFill>
            <a:ln w="25400">
              <a:noFill/>
            </a:ln>
            <a:effectLst/>
          </c:spPr>
          <c:cat>
            <c:numRef>
              <c:f>SR_demand_forecast!$C$55:$L$55</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SR_demand_forecast!$C$60:$L$60</c:f>
              <c:numCache>
                <c:formatCode>_(* #,##0_);_(* \(#,##0\);_(* "-"??_);_(@_)</c:formatCode>
                <c:ptCount val="10"/>
                <c:pt idx="0">
                  <c:v>414.45</c:v>
                </c:pt>
                <c:pt idx="1">
                  <c:v>366.55799999999999</c:v>
                </c:pt>
                <c:pt idx="2">
                  <c:v>316.76873999999998</c:v>
                </c:pt>
                <c:pt idx="3">
                  <c:v>265.02548639999998</c:v>
                </c:pt>
                <c:pt idx="4">
                  <c:v>249.23000483999999</c:v>
                </c:pt>
                <c:pt idx="5">
                  <c:v>203.37168394944001</c:v>
                </c:pt>
                <c:pt idx="6">
                  <c:v>155.57933822132165</c:v>
                </c:pt>
                <c:pt idx="7">
                  <c:v>105.79394999049872</c:v>
                </c:pt>
                <c:pt idx="8">
                  <c:v>53.954914495154377</c:v>
                </c:pt>
                <c:pt idx="9">
                  <c:v>0</c:v>
                </c:pt>
              </c:numCache>
            </c:numRef>
          </c:val>
          <c:extLst>
            <c:ext xmlns:c16="http://schemas.microsoft.com/office/drawing/2014/chart" uri="{C3380CC4-5D6E-409C-BE32-E72D297353CC}">
              <c16:uniqueId val="{00000004-12ED-4526-9F4D-19E4028C8D7F}"/>
            </c:ext>
          </c:extLst>
        </c:ser>
        <c:ser>
          <c:idx val="5"/>
          <c:order val="5"/>
          <c:tx>
            <c:strRef>
              <c:f>SR_demand_forecast!$B$61</c:f>
              <c:strCache>
                <c:ptCount val="1"/>
                <c:pt idx="0">
                  <c:v>Mission Operations</c:v>
                </c:pt>
              </c:strCache>
            </c:strRef>
          </c:tx>
          <c:spPr>
            <a:solidFill>
              <a:schemeClr val="accent6"/>
            </a:solidFill>
            <a:ln w="25400">
              <a:noFill/>
            </a:ln>
            <a:effectLst/>
          </c:spPr>
          <c:cat>
            <c:numRef>
              <c:f>SR_demand_forecast!$C$55:$L$55</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SR_demand_forecast!$C$61:$L$61</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12ED-4526-9F4D-19E4028C8D7F}"/>
            </c:ext>
          </c:extLst>
        </c:ser>
        <c:ser>
          <c:idx val="6"/>
          <c:order val="6"/>
          <c:tx>
            <c:strRef>
              <c:f>SR_demand_forecast!$B$62</c:f>
              <c:strCache>
                <c:ptCount val="1"/>
                <c:pt idx="0">
                  <c:v>Launch Events</c:v>
                </c:pt>
              </c:strCache>
            </c:strRef>
          </c:tx>
          <c:spPr>
            <a:solidFill>
              <a:schemeClr val="accent1">
                <a:lumMod val="60000"/>
              </a:schemeClr>
            </a:solidFill>
            <a:ln w="25400">
              <a:noFill/>
            </a:ln>
            <a:effectLst/>
          </c:spPr>
          <c:cat>
            <c:numRef>
              <c:f>SR_demand_forecast!$C$55:$L$55</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SR_demand_forecast!$C$62:$L$62</c:f>
              <c:numCache>
                <c:formatCode>_(* #,##0_);_(* \(#,##0\);_(* "-"??_);_(@_)</c:formatCode>
                <c:ptCount val="10"/>
                <c:pt idx="0">
                  <c:v>6882</c:v>
                </c:pt>
                <c:pt idx="1">
                  <c:v>6882</c:v>
                </c:pt>
                <c:pt idx="2">
                  <c:v>6882</c:v>
                </c:pt>
                <c:pt idx="3">
                  <c:v>6882</c:v>
                </c:pt>
                <c:pt idx="4">
                  <c:v>4588</c:v>
                </c:pt>
                <c:pt idx="5">
                  <c:v>4588</c:v>
                </c:pt>
                <c:pt idx="6">
                  <c:v>4588</c:v>
                </c:pt>
                <c:pt idx="7">
                  <c:v>4588</c:v>
                </c:pt>
                <c:pt idx="8">
                  <c:v>4588</c:v>
                </c:pt>
                <c:pt idx="9">
                  <c:v>4588</c:v>
                </c:pt>
              </c:numCache>
            </c:numRef>
          </c:val>
          <c:extLst>
            <c:ext xmlns:c16="http://schemas.microsoft.com/office/drawing/2014/chart" uri="{C3380CC4-5D6E-409C-BE32-E72D297353CC}">
              <c16:uniqueId val="{00000006-12ED-4526-9F4D-19E4028C8D7F}"/>
            </c:ext>
          </c:extLst>
        </c:ser>
        <c:ser>
          <c:idx val="7"/>
          <c:order val="7"/>
          <c:tx>
            <c:strRef>
              <c:f>SR_demand_forecast!$B$63</c:f>
              <c:strCache>
                <c:ptCount val="1"/>
                <c:pt idx="0">
                  <c:v>Terrestrial &amp; Aerial</c:v>
                </c:pt>
              </c:strCache>
            </c:strRef>
          </c:tx>
          <c:spPr>
            <a:solidFill>
              <a:schemeClr val="accent2">
                <a:lumMod val="60000"/>
              </a:schemeClr>
            </a:solidFill>
            <a:ln w="25400">
              <a:noFill/>
            </a:ln>
            <a:effectLst/>
          </c:spPr>
          <c:cat>
            <c:numRef>
              <c:f>SR_demand_forecast!$C$55:$L$55</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SR_demand_forecast!$C$63:$L$63</c:f>
              <c:numCache>
                <c:formatCode>_(* #,##0_);_(* \(#,##0\);_(* "-"??_);_(@_)</c:formatCode>
                <c:ptCount val="10"/>
                <c:pt idx="0">
                  <c:v>91096.2</c:v>
                </c:pt>
                <c:pt idx="1">
                  <c:v>81244.314666666673</c:v>
                </c:pt>
                <c:pt idx="2">
                  <c:v>70988.906906666671</c:v>
                </c:pt>
                <c:pt idx="3">
                  <c:v>60317.776577066674</c:v>
                </c:pt>
                <c:pt idx="4">
                  <c:v>49218.39693818667</c:v>
                </c:pt>
                <c:pt idx="5">
                  <c:v>41189.523382553176</c:v>
                </c:pt>
                <c:pt idx="6">
                  <c:v>29939.736408231212</c:v>
                </c:pt>
                <c:pt idx="7">
                  <c:v>18236.977878916696</c:v>
                </c:pt>
                <c:pt idx="8">
                  <c:v>6067.6288471996377</c:v>
                </c:pt>
                <c:pt idx="9">
                  <c:v>-6582.2932036043348</c:v>
                </c:pt>
              </c:numCache>
            </c:numRef>
          </c:val>
          <c:extLst>
            <c:ext xmlns:c16="http://schemas.microsoft.com/office/drawing/2014/chart" uri="{C3380CC4-5D6E-409C-BE32-E72D297353CC}">
              <c16:uniqueId val="{00000007-12ED-4526-9F4D-19E4028C8D7F}"/>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max val="500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Minutes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SR Demand Forecast by Replacement Rate (Low)</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5781468523627276"/>
          <c:y val="0.16999583891062464"/>
          <c:w val="0.79973806443103357"/>
          <c:h val="0.57664470395815959"/>
        </c:manualLayout>
      </c:layout>
      <c:areaChart>
        <c:grouping val="stacked"/>
        <c:varyColors val="0"/>
        <c:ser>
          <c:idx val="0"/>
          <c:order val="0"/>
          <c:tx>
            <c:strRef>
              <c:f>SR_demand_forecast!$B$69</c:f>
              <c:strCache>
                <c:ptCount val="1"/>
                <c:pt idx="0">
                  <c:v>Existing</c:v>
                </c:pt>
              </c:strCache>
            </c:strRef>
          </c:tx>
          <c:spPr>
            <a:solidFill>
              <a:schemeClr val="accent1"/>
            </a:solidFill>
            <a:ln>
              <a:noFill/>
            </a:ln>
            <a:effectLst/>
          </c:spPr>
          <c:cat>
            <c:numRef>
              <c:f>SR_demand_forecast!$C$68:$L$68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SR_demand_forecast!$C$69:$L$69</c:f>
              <c:numCache>
                <c:formatCode>_(* #,##0_);_(* \(#,##0\);_(* "-"??_);_(@_)</c:formatCode>
                <c:ptCount val="10"/>
                <c:pt idx="0">
                  <c:v>1676114.912698413</c:v>
                </c:pt>
                <c:pt idx="1">
                  <c:v>1442274.4126984125</c:v>
                </c:pt>
                <c:pt idx="2">
                  <c:v>1435181.5555555555</c:v>
                </c:pt>
                <c:pt idx="3">
                  <c:v>1301780.7777777778</c:v>
                </c:pt>
                <c:pt idx="4">
                  <c:v>1131886.1666666667</c:v>
                </c:pt>
                <c:pt idx="5">
                  <c:v>898045.66666666674</c:v>
                </c:pt>
                <c:pt idx="6">
                  <c:v>697944.49999999988</c:v>
                </c:pt>
                <c:pt idx="7">
                  <c:v>564543.72222222225</c:v>
                </c:pt>
                <c:pt idx="8">
                  <c:v>564543.72222222225</c:v>
                </c:pt>
                <c:pt idx="9">
                  <c:v>564543.72222222225</c:v>
                </c:pt>
              </c:numCache>
            </c:numRef>
          </c:val>
          <c:extLst>
            <c:ext xmlns:c16="http://schemas.microsoft.com/office/drawing/2014/chart" uri="{C3380CC4-5D6E-409C-BE32-E72D297353CC}">
              <c16:uniqueId val="{00000000-389E-4E40-841D-F12B2C326EC0}"/>
            </c:ext>
          </c:extLst>
        </c:ser>
        <c:ser>
          <c:idx val="1"/>
          <c:order val="1"/>
          <c:tx>
            <c:strRef>
              <c:f>SR_demand_forecast!$B$70</c:f>
              <c:strCache>
                <c:ptCount val="1"/>
                <c:pt idx="0">
                  <c:v>Replacement</c:v>
                </c:pt>
              </c:strCache>
            </c:strRef>
          </c:tx>
          <c:spPr>
            <a:solidFill>
              <a:schemeClr val="accent2"/>
            </a:solidFill>
            <a:ln>
              <a:noFill/>
            </a:ln>
            <a:effectLst/>
          </c:spPr>
          <c:cat>
            <c:numRef>
              <c:f>SR_demand_forecast!$C$68:$L$68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SR_demand_forecast!$C$70:$L$70</c:f>
              <c:numCache>
                <c:formatCode>_(* #,##0_);_(* \(#,##0\);_(* "-"??_);_(@_)</c:formatCode>
                <c:ptCount val="10"/>
                <c:pt idx="0">
                  <c:v>-87853.89523809524</c:v>
                </c:pt>
                <c:pt idx="1">
                  <c:v>-8739.0329523809542</c:v>
                </c:pt>
                <c:pt idx="2">
                  <c:v>-21082.710188571418</c:v>
                </c:pt>
                <c:pt idx="3">
                  <c:v>26830.351733828531</c:v>
                </c:pt>
                <c:pt idx="4">
                  <c:v>149365.47524472009</c:v>
                </c:pt>
                <c:pt idx="5">
                  <c:v>313533.7925915792</c:v>
                </c:pt>
                <c:pt idx="6">
                  <c:v>446213.12719119381</c:v>
                </c:pt>
                <c:pt idx="7">
                  <c:v>507456.44091445592</c:v>
                </c:pt>
                <c:pt idx="8">
                  <c:v>414670.72921944072</c:v>
                </c:pt>
                <c:pt idx="9">
                  <c:v>317970.60648025892</c:v>
                </c:pt>
              </c:numCache>
            </c:numRef>
          </c:val>
          <c:extLst>
            <c:ext xmlns:c16="http://schemas.microsoft.com/office/drawing/2014/chart" uri="{C3380CC4-5D6E-409C-BE32-E72D297353CC}">
              <c16:uniqueId val="{00000001-389E-4E40-841D-F12B2C326EC0}"/>
            </c:ext>
          </c:extLst>
        </c:ser>
        <c:dLbls>
          <c:showLegendKey val="0"/>
          <c:showVal val="0"/>
          <c:showCatName val="0"/>
          <c:showSerName val="0"/>
          <c:showPercent val="0"/>
          <c:showBubbleSize val="0"/>
        </c:dLbls>
        <c:axId val="1043470975"/>
        <c:axId val="1043473471"/>
      </c:areaChart>
      <c:catAx>
        <c:axId val="104347097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473471"/>
        <c:crosses val="autoZero"/>
        <c:auto val="1"/>
        <c:lblAlgn val="ctr"/>
        <c:lblOffset val="100"/>
        <c:noMultiLvlLbl val="0"/>
      </c:catAx>
      <c:valAx>
        <c:axId val="1043473471"/>
        <c:scaling>
          <c:orientation val="minMax"/>
          <c:max val="500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Minutes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470975"/>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SR Demand Forecast by Use Case (Baseline)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5048881531606909"/>
          <c:y val="0.10605799289048519"/>
          <c:w val="0.81755463596923572"/>
          <c:h val="0.60682971253468532"/>
        </c:manualLayout>
      </c:layout>
      <c:areaChart>
        <c:grouping val="stacked"/>
        <c:varyColors val="0"/>
        <c:ser>
          <c:idx val="0"/>
          <c:order val="0"/>
          <c:tx>
            <c:strRef>
              <c:f>SR_demand_forecast!$B$129</c:f>
              <c:strCache>
                <c:ptCount val="1"/>
                <c:pt idx="0">
                  <c:v>Human Space Flight</c:v>
                </c:pt>
              </c:strCache>
            </c:strRef>
          </c:tx>
          <c:spPr>
            <a:solidFill>
              <a:schemeClr val="accent1"/>
            </a:solidFill>
            <a:ln>
              <a:noFill/>
            </a:ln>
            <a:effectLst/>
          </c:spPr>
          <c:cat>
            <c:numRef>
              <c:f>SR_demand_forecast!$C$128:$L$128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SR_demand_forecast!$C$129:$L$129</c:f>
              <c:numCache>
                <c:formatCode>_(* #,##0_);_(* \(#,##0\);_(* "-"??_);_(@_)</c:formatCode>
                <c:ptCount val="10"/>
                <c:pt idx="0">
                  <c:v>402076.5</c:v>
                </c:pt>
                <c:pt idx="1">
                  <c:v>342339.42</c:v>
                </c:pt>
                <c:pt idx="2">
                  <c:v>280235.83259999997</c:v>
                </c:pt>
                <c:pt idx="3">
                  <c:v>215694.97233600001</c:v>
                </c:pt>
                <c:pt idx="4">
                  <c:v>148644.18972840003</c:v>
                </c:pt>
                <c:pt idx="5">
                  <c:v>79008.904227561608</c:v>
                </c:pt>
                <c:pt idx="6">
                  <c:v>6712.556030798296</c:v>
                </c:pt>
                <c:pt idx="7">
                  <c:v>-68323.443255526479</c:v>
                </c:pt>
                <c:pt idx="8">
                  <c:v>-146179.76113571669</c:v>
                </c:pt>
                <c:pt idx="9">
                  <c:v>-226939.19595381222</c:v>
                </c:pt>
              </c:numCache>
            </c:numRef>
          </c:val>
          <c:extLst>
            <c:ext xmlns:c16="http://schemas.microsoft.com/office/drawing/2014/chart" uri="{C3380CC4-5D6E-409C-BE32-E72D297353CC}">
              <c16:uniqueId val="{00000000-6A77-48AF-87AA-BCA6095B03F7}"/>
            </c:ext>
          </c:extLst>
        </c:ser>
        <c:ser>
          <c:idx val="1"/>
          <c:order val="1"/>
          <c:tx>
            <c:strRef>
              <c:f>SR_demand_forecast!$B$130</c:f>
              <c:strCache>
                <c:ptCount val="1"/>
                <c:pt idx="0">
                  <c:v>Near Earth Robotic - LEO Science</c:v>
                </c:pt>
              </c:strCache>
            </c:strRef>
          </c:tx>
          <c:spPr>
            <a:solidFill>
              <a:schemeClr val="accent2"/>
            </a:solidFill>
            <a:ln>
              <a:noFill/>
            </a:ln>
            <a:effectLst/>
          </c:spPr>
          <c:cat>
            <c:numRef>
              <c:f>SR_demand_forecast!$C$128:$L$128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SR_demand_forecast!$C$130:$L$130</c:f>
              <c:numCache>
                <c:formatCode>_(* #,##0_);_(* \(#,##0\);_(* "-"??_);_(@_)</c:formatCode>
                <c:ptCount val="10"/>
                <c:pt idx="0">
                  <c:v>1094275.5166666666</c:v>
                </c:pt>
                <c:pt idx="1">
                  <c:v>1023306.3028888889</c:v>
                </c:pt>
                <c:pt idx="2">
                  <c:v>1088211.1173088888</c:v>
                </c:pt>
                <c:pt idx="3">
                  <c:v>1093045.3480543112</c:v>
                </c:pt>
                <c:pt idx="4">
                  <c:v>1141793.3451338001</c:v>
                </c:pt>
                <c:pt idx="5">
                  <c:v>1166085.5702905802</c:v>
                </c:pt>
                <c:pt idx="6">
                  <c:v>1199136.9351822447</c:v>
                </c:pt>
                <c:pt idx="7">
                  <c:v>1231290.6561870479</c:v>
                </c:pt>
                <c:pt idx="8">
                  <c:v>1246767.4478971949</c:v>
                </c:pt>
                <c:pt idx="9">
                  <c:v>1262397.4751688279</c:v>
                </c:pt>
              </c:numCache>
            </c:numRef>
          </c:val>
          <c:extLst>
            <c:ext xmlns:c16="http://schemas.microsoft.com/office/drawing/2014/chart" uri="{C3380CC4-5D6E-409C-BE32-E72D297353CC}">
              <c16:uniqueId val="{00000001-6A77-48AF-87AA-BCA6095B03F7}"/>
            </c:ext>
          </c:extLst>
        </c:ser>
        <c:ser>
          <c:idx val="2"/>
          <c:order val="2"/>
          <c:tx>
            <c:strRef>
              <c:f>SR_demand_forecast!$B$131</c:f>
              <c:strCache>
                <c:ptCount val="1"/>
                <c:pt idx="0">
                  <c:v>Near Earth Robotic - GEO and Near Earth</c:v>
                </c:pt>
              </c:strCache>
            </c:strRef>
          </c:tx>
          <c:spPr>
            <a:solidFill>
              <a:schemeClr val="accent3"/>
            </a:solidFill>
            <a:ln>
              <a:noFill/>
            </a:ln>
            <a:effectLst/>
          </c:spPr>
          <c:cat>
            <c:numRef>
              <c:f>SR_demand_forecast!$C$128:$L$128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SR_demand_forecast!$C$131:$L$131</c:f>
              <c:numCache>
                <c:formatCode>_(* #,##0_);_(* \(#,##0\);_(* "-"??_);_(@_)</c:formatCode>
                <c:ptCount val="10"/>
                <c:pt idx="0">
                  <c:v>6856.4285714285716</c:v>
                </c:pt>
                <c:pt idx="1">
                  <c:v>6610.5428571428574</c:v>
                </c:pt>
                <c:pt idx="2">
                  <c:v>9101.2705714285712</c:v>
                </c:pt>
                <c:pt idx="3">
                  <c:v>9032.3960914285708</c:v>
                </c:pt>
                <c:pt idx="4">
                  <c:v>8957.1261240000003</c:v>
                </c:pt>
                <c:pt idx="5">
                  <c:v>8875.2323994377148</c:v>
                </c:pt>
                <c:pt idx="6">
                  <c:v>8786.4800754433381</c:v>
                </c:pt>
                <c:pt idx="7">
                  <c:v>8690.6275655294085</c:v>
                </c:pt>
                <c:pt idx="8">
                  <c:v>8587.4263631887479</c:v>
                </c:pt>
                <c:pt idx="9">
                  <c:v>8476.6208617282482</c:v>
                </c:pt>
              </c:numCache>
            </c:numRef>
          </c:val>
          <c:extLst>
            <c:ext xmlns:c16="http://schemas.microsoft.com/office/drawing/2014/chart" uri="{C3380CC4-5D6E-409C-BE32-E72D297353CC}">
              <c16:uniqueId val="{00000002-6A77-48AF-87AA-BCA6095B03F7}"/>
            </c:ext>
          </c:extLst>
        </c:ser>
        <c:ser>
          <c:idx val="3"/>
          <c:order val="3"/>
          <c:tx>
            <c:strRef>
              <c:f>SR_demand_forecast!$B$132</c:f>
              <c:strCache>
                <c:ptCount val="1"/>
                <c:pt idx="0">
                  <c:v>Deep Space Robotic</c:v>
                </c:pt>
              </c:strCache>
            </c:strRef>
          </c:tx>
          <c:spPr>
            <a:solidFill>
              <a:schemeClr val="accent4"/>
            </a:solidFill>
            <a:ln w="25400">
              <a:noFill/>
            </a:ln>
            <a:effectLst/>
          </c:spPr>
          <c:cat>
            <c:numRef>
              <c:f>SR_demand_forecast!$C$128:$L$128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SR_demand_forecast!$C$132:$L$132</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6A77-48AF-87AA-BCA6095B03F7}"/>
            </c:ext>
          </c:extLst>
        </c:ser>
        <c:ser>
          <c:idx val="4"/>
          <c:order val="4"/>
          <c:tx>
            <c:strRef>
              <c:f>SR_demand_forecast!$B$133</c:f>
              <c:strCache>
                <c:ptCount val="1"/>
                <c:pt idx="0">
                  <c:v>Near Earth Robotic - Low Latency &amp; Complex Needs</c:v>
                </c:pt>
              </c:strCache>
            </c:strRef>
          </c:tx>
          <c:spPr>
            <a:solidFill>
              <a:schemeClr val="accent5"/>
            </a:solidFill>
            <a:ln w="25400">
              <a:noFill/>
            </a:ln>
            <a:effectLst/>
          </c:spPr>
          <c:cat>
            <c:numRef>
              <c:f>SR_demand_forecast!$C$128:$L$128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SR_demand_forecast!$C$133:$L$133</c:f>
              <c:numCache>
                <c:formatCode>_(* #,##0_);_(* \(#,##0\);_(* "-"??_);_(@_)</c:formatCode>
                <c:ptCount val="10"/>
                <c:pt idx="0">
                  <c:v>414.45</c:v>
                </c:pt>
                <c:pt idx="1">
                  <c:v>366.55799999999999</c:v>
                </c:pt>
                <c:pt idx="2">
                  <c:v>316.76873999999998</c:v>
                </c:pt>
                <c:pt idx="3">
                  <c:v>265.02548639999998</c:v>
                </c:pt>
                <c:pt idx="4">
                  <c:v>249.23000483999999</c:v>
                </c:pt>
                <c:pt idx="5">
                  <c:v>203.37168394944001</c:v>
                </c:pt>
                <c:pt idx="6">
                  <c:v>155.57933822132165</c:v>
                </c:pt>
                <c:pt idx="7">
                  <c:v>105.79394999049872</c:v>
                </c:pt>
                <c:pt idx="8">
                  <c:v>53.954914495154377</c:v>
                </c:pt>
                <c:pt idx="9">
                  <c:v>0</c:v>
                </c:pt>
              </c:numCache>
            </c:numRef>
          </c:val>
          <c:extLst>
            <c:ext xmlns:c16="http://schemas.microsoft.com/office/drawing/2014/chart" uri="{C3380CC4-5D6E-409C-BE32-E72D297353CC}">
              <c16:uniqueId val="{00000004-6A77-48AF-87AA-BCA6095B03F7}"/>
            </c:ext>
          </c:extLst>
        </c:ser>
        <c:ser>
          <c:idx val="5"/>
          <c:order val="5"/>
          <c:tx>
            <c:strRef>
              <c:f>SR_demand_forecast!$B$134</c:f>
              <c:strCache>
                <c:ptCount val="1"/>
                <c:pt idx="0">
                  <c:v>Mission Operations</c:v>
                </c:pt>
              </c:strCache>
            </c:strRef>
          </c:tx>
          <c:spPr>
            <a:solidFill>
              <a:schemeClr val="accent6"/>
            </a:solidFill>
            <a:ln w="25400">
              <a:noFill/>
            </a:ln>
            <a:effectLst/>
          </c:spPr>
          <c:cat>
            <c:numRef>
              <c:f>SR_demand_forecast!$C$128:$L$128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SR_demand_forecast!$C$134:$L$134</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6A77-48AF-87AA-BCA6095B03F7}"/>
            </c:ext>
          </c:extLst>
        </c:ser>
        <c:ser>
          <c:idx val="6"/>
          <c:order val="6"/>
          <c:tx>
            <c:strRef>
              <c:f>SR_demand_forecast!$B$135</c:f>
              <c:strCache>
                <c:ptCount val="1"/>
                <c:pt idx="0">
                  <c:v>Launch Events</c:v>
                </c:pt>
              </c:strCache>
            </c:strRef>
          </c:tx>
          <c:spPr>
            <a:solidFill>
              <a:schemeClr val="accent1">
                <a:lumMod val="60000"/>
              </a:schemeClr>
            </a:solidFill>
            <a:ln w="25400">
              <a:noFill/>
            </a:ln>
            <a:effectLst/>
          </c:spPr>
          <c:cat>
            <c:numRef>
              <c:f>SR_demand_forecast!$C$128:$L$128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SR_demand_forecast!$C$135:$L$135</c:f>
              <c:numCache>
                <c:formatCode>_(* #,##0_);_(* \(#,##0\);_(* "-"??_);_(@_)</c:formatCode>
                <c:ptCount val="10"/>
                <c:pt idx="0">
                  <c:v>6882</c:v>
                </c:pt>
                <c:pt idx="1">
                  <c:v>6882</c:v>
                </c:pt>
                <c:pt idx="2">
                  <c:v>6882</c:v>
                </c:pt>
                <c:pt idx="3">
                  <c:v>6882</c:v>
                </c:pt>
                <c:pt idx="4">
                  <c:v>4588</c:v>
                </c:pt>
                <c:pt idx="5">
                  <c:v>4588</c:v>
                </c:pt>
                <c:pt idx="6">
                  <c:v>4588</c:v>
                </c:pt>
                <c:pt idx="7">
                  <c:v>4588</c:v>
                </c:pt>
                <c:pt idx="8">
                  <c:v>4588</c:v>
                </c:pt>
                <c:pt idx="9">
                  <c:v>4588</c:v>
                </c:pt>
              </c:numCache>
            </c:numRef>
          </c:val>
          <c:extLst>
            <c:ext xmlns:c16="http://schemas.microsoft.com/office/drawing/2014/chart" uri="{C3380CC4-5D6E-409C-BE32-E72D297353CC}">
              <c16:uniqueId val="{00000006-6A77-48AF-87AA-BCA6095B03F7}"/>
            </c:ext>
          </c:extLst>
        </c:ser>
        <c:ser>
          <c:idx val="7"/>
          <c:order val="7"/>
          <c:tx>
            <c:strRef>
              <c:f>SR_demand_forecast!$B$136</c:f>
              <c:strCache>
                <c:ptCount val="1"/>
                <c:pt idx="0">
                  <c:v>Terrestrial &amp; Aerial</c:v>
                </c:pt>
              </c:strCache>
            </c:strRef>
          </c:tx>
          <c:spPr>
            <a:solidFill>
              <a:schemeClr val="accent2">
                <a:lumMod val="60000"/>
              </a:schemeClr>
            </a:solidFill>
            <a:ln w="25400">
              <a:noFill/>
            </a:ln>
            <a:effectLst/>
          </c:spPr>
          <c:cat>
            <c:numRef>
              <c:f>SR_demand_forecast!$C$128:$L$128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SR_demand_forecast!$C$136:$L$136</c:f>
              <c:numCache>
                <c:formatCode>_(* #,##0_);_(* \(#,##0\);_(* "-"??_);_(@_)</c:formatCode>
                <c:ptCount val="10"/>
                <c:pt idx="0">
                  <c:v>91096.2</c:v>
                </c:pt>
                <c:pt idx="1">
                  <c:v>81244.314666666673</c:v>
                </c:pt>
                <c:pt idx="2">
                  <c:v>70988.906906666671</c:v>
                </c:pt>
                <c:pt idx="3">
                  <c:v>60317.776577066674</c:v>
                </c:pt>
                <c:pt idx="4">
                  <c:v>49218.39693818667</c:v>
                </c:pt>
                <c:pt idx="5">
                  <c:v>41189.523382553176</c:v>
                </c:pt>
                <c:pt idx="6">
                  <c:v>29939.736408231212</c:v>
                </c:pt>
                <c:pt idx="7">
                  <c:v>18236.977878916696</c:v>
                </c:pt>
                <c:pt idx="8">
                  <c:v>6067.6288471996377</c:v>
                </c:pt>
                <c:pt idx="9">
                  <c:v>-6582.2932036043348</c:v>
                </c:pt>
              </c:numCache>
            </c:numRef>
          </c:val>
          <c:extLst>
            <c:ext xmlns:c16="http://schemas.microsoft.com/office/drawing/2014/chart" uri="{C3380CC4-5D6E-409C-BE32-E72D297353CC}">
              <c16:uniqueId val="{00000007-6A77-48AF-87AA-BCA6095B03F7}"/>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max val="500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Minutes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SR Demand Forecast by Replacement Rate (Baseline)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5781468523627276"/>
          <c:y val="0.16999583891062464"/>
          <c:w val="0.79973806443103357"/>
          <c:h val="0.57664470395815959"/>
        </c:manualLayout>
      </c:layout>
      <c:areaChart>
        <c:grouping val="stacked"/>
        <c:varyColors val="0"/>
        <c:ser>
          <c:idx val="0"/>
          <c:order val="0"/>
          <c:tx>
            <c:strRef>
              <c:f>SR_demand_forecast!$B$142</c:f>
              <c:strCache>
                <c:ptCount val="1"/>
                <c:pt idx="0">
                  <c:v>Existing</c:v>
                </c:pt>
              </c:strCache>
            </c:strRef>
          </c:tx>
          <c:spPr>
            <a:solidFill>
              <a:schemeClr val="accent1"/>
            </a:solidFill>
            <a:ln>
              <a:noFill/>
            </a:ln>
            <a:effectLst/>
          </c:spPr>
          <c:cat>
            <c:numRef>
              <c:f>SR_demand_forecast!$C$141:$L$141</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SR_demand_forecast!$C$142:$L$142</c:f>
              <c:numCache>
                <c:formatCode>_(* #,##0_);_(* \(#,##0\);_(* "-"??_);_(@_)</c:formatCode>
                <c:ptCount val="10"/>
                <c:pt idx="0">
                  <c:v>1676114.912698413</c:v>
                </c:pt>
                <c:pt idx="1">
                  <c:v>1442274.4126984125</c:v>
                </c:pt>
                <c:pt idx="2">
                  <c:v>1435181.5555555555</c:v>
                </c:pt>
                <c:pt idx="3">
                  <c:v>1301780.7777777778</c:v>
                </c:pt>
                <c:pt idx="4">
                  <c:v>1131886.1666666667</c:v>
                </c:pt>
                <c:pt idx="5">
                  <c:v>898045.66666666674</c:v>
                </c:pt>
                <c:pt idx="6">
                  <c:v>697944.49999999988</c:v>
                </c:pt>
                <c:pt idx="7">
                  <c:v>564543.72222222225</c:v>
                </c:pt>
                <c:pt idx="8">
                  <c:v>564543.72222222225</c:v>
                </c:pt>
                <c:pt idx="9">
                  <c:v>564543.72222222225</c:v>
                </c:pt>
              </c:numCache>
            </c:numRef>
          </c:val>
          <c:extLst>
            <c:ext xmlns:c16="http://schemas.microsoft.com/office/drawing/2014/chart" uri="{C3380CC4-5D6E-409C-BE32-E72D297353CC}">
              <c16:uniqueId val="{00000000-53E7-457A-9757-9794A37996D0}"/>
            </c:ext>
          </c:extLst>
        </c:ser>
        <c:ser>
          <c:idx val="1"/>
          <c:order val="1"/>
          <c:tx>
            <c:strRef>
              <c:f>SR_demand_forecast!$B$143</c:f>
              <c:strCache>
                <c:ptCount val="1"/>
                <c:pt idx="0">
                  <c:v>Replacement</c:v>
                </c:pt>
              </c:strCache>
            </c:strRef>
          </c:tx>
          <c:spPr>
            <a:solidFill>
              <a:schemeClr val="accent2"/>
            </a:solidFill>
            <a:ln>
              <a:noFill/>
            </a:ln>
            <a:effectLst/>
          </c:spPr>
          <c:cat>
            <c:numRef>
              <c:f>SR_demand_forecast!$C$141:$L$141</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SR_demand_forecast!$C$143:$L$143</c:f>
              <c:numCache>
                <c:formatCode>_(* #,##0_);_(* \(#,##0\);_(* "-"??_);_(@_)</c:formatCode>
                <c:ptCount val="10"/>
                <c:pt idx="0">
                  <c:v>-74513.81746031747</c:v>
                </c:pt>
                <c:pt idx="1">
                  <c:v>18474.725714285734</c:v>
                </c:pt>
                <c:pt idx="2">
                  <c:v>20554.340571428595</c:v>
                </c:pt>
                <c:pt idx="3">
                  <c:v>83456.740767428579</c:v>
                </c:pt>
                <c:pt idx="4">
                  <c:v>221564.1212625601</c:v>
                </c:pt>
                <c:pt idx="5">
                  <c:v>401904.93531741534</c:v>
                </c:pt>
                <c:pt idx="6">
                  <c:v>551374.78703493881</c:v>
                </c:pt>
                <c:pt idx="7">
                  <c:v>630044.89010373584</c:v>
                </c:pt>
                <c:pt idx="8">
                  <c:v>555340.97466413944</c:v>
                </c:pt>
                <c:pt idx="9">
                  <c:v>477396.88465091732</c:v>
                </c:pt>
              </c:numCache>
            </c:numRef>
          </c:val>
          <c:extLst>
            <c:ext xmlns:c16="http://schemas.microsoft.com/office/drawing/2014/chart" uri="{C3380CC4-5D6E-409C-BE32-E72D297353CC}">
              <c16:uniqueId val="{00000001-53E7-457A-9757-9794A37996D0}"/>
            </c:ext>
          </c:extLst>
        </c:ser>
        <c:dLbls>
          <c:showLegendKey val="0"/>
          <c:showVal val="0"/>
          <c:showCatName val="0"/>
          <c:showSerName val="0"/>
          <c:showPercent val="0"/>
          <c:showBubbleSize val="0"/>
        </c:dLbls>
        <c:axId val="1043470975"/>
        <c:axId val="1043473471"/>
      </c:areaChart>
      <c:catAx>
        <c:axId val="104347097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473471"/>
        <c:crosses val="autoZero"/>
        <c:auto val="1"/>
        <c:lblAlgn val="ctr"/>
        <c:lblOffset val="100"/>
        <c:noMultiLvlLbl val="0"/>
      </c:catAx>
      <c:valAx>
        <c:axId val="1043473471"/>
        <c:scaling>
          <c:orientation val="minMax"/>
          <c:max val="500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Minutes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470975"/>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SR Demand Forecast by Use Case (High)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5048881531606909"/>
          <c:y val="0.10605799289048519"/>
          <c:w val="0.81755463596923572"/>
          <c:h val="0.60682971253468532"/>
        </c:manualLayout>
      </c:layout>
      <c:areaChart>
        <c:grouping val="stacked"/>
        <c:varyColors val="0"/>
        <c:ser>
          <c:idx val="0"/>
          <c:order val="0"/>
          <c:tx>
            <c:strRef>
              <c:f>SR_demand_forecast!$B$202</c:f>
              <c:strCache>
                <c:ptCount val="1"/>
                <c:pt idx="0">
                  <c:v>Human Space Flight</c:v>
                </c:pt>
              </c:strCache>
            </c:strRef>
          </c:tx>
          <c:spPr>
            <a:solidFill>
              <a:schemeClr val="accent1"/>
            </a:solidFill>
            <a:ln>
              <a:noFill/>
            </a:ln>
            <a:effectLst/>
          </c:spPr>
          <c:cat>
            <c:numRef>
              <c:f>SR_demand_forecast!$C$201:$L$201</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SR_demand_forecast!$C$202:$L$202</c:f>
              <c:numCache>
                <c:formatCode>_(* #,##0_);_(* \(#,##0\);_(* "-"??_);_(@_)</c:formatCode>
                <c:ptCount val="10"/>
                <c:pt idx="0">
                  <c:v>402076.5</c:v>
                </c:pt>
                <c:pt idx="1">
                  <c:v>342339.42</c:v>
                </c:pt>
                <c:pt idx="2">
                  <c:v>280235.83259999997</c:v>
                </c:pt>
                <c:pt idx="3">
                  <c:v>215694.97233600001</c:v>
                </c:pt>
                <c:pt idx="4">
                  <c:v>148644.18972840003</c:v>
                </c:pt>
                <c:pt idx="5">
                  <c:v>79008.904227561608</c:v>
                </c:pt>
                <c:pt idx="6">
                  <c:v>6712.556030798296</c:v>
                </c:pt>
                <c:pt idx="7">
                  <c:v>-68323.443255526479</c:v>
                </c:pt>
                <c:pt idx="8">
                  <c:v>-146179.76113571669</c:v>
                </c:pt>
                <c:pt idx="9">
                  <c:v>-226939.19595381222</c:v>
                </c:pt>
              </c:numCache>
            </c:numRef>
          </c:val>
          <c:extLst>
            <c:ext xmlns:c16="http://schemas.microsoft.com/office/drawing/2014/chart" uri="{C3380CC4-5D6E-409C-BE32-E72D297353CC}">
              <c16:uniqueId val="{00000000-8C20-4D8B-BCD2-17FACFBE20A0}"/>
            </c:ext>
          </c:extLst>
        </c:ser>
        <c:ser>
          <c:idx val="1"/>
          <c:order val="1"/>
          <c:tx>
            <c:strRef>
              <c:f>SR_demand_forecast!$B$203</c:f>
              <c:strCache>
                <c:ptCount val="1"/>
                <c:pt idx="0">
                  <c:v>Near Earth Robotic - LEO Science</c:v>
                </c:pt>
              </c:strCache>
            </c:strRef>
          </c:tx>
          <c:spPr>
            <a:solidFill>
              <a:schemeClr val="accent2"/>
            </a:solidFill>
            <a:ln>
              <a:noFill/>
            </a:ln>
            <a:effectLst/>
          </c:spPr>
          <c:cat>
            <c:numRef>
              <c:f>SR_demand_forecast!$C$201:$L$201</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SR_demand_forecast!$C$203:$L$203</c:f>
              <c:numCache>
                <c:formatCode>_(* #,##0_);_(* \(#,##0\);_(* "-"??_);_(@_)</c:formatCode>
                <c:ptCount val="10"/>
                <c:pt idx="0">
                  <c:v>1100945.5555555555</c:v>
                </c:pt>
                <c:pt idx="1">
                  <c:v>1036913.1822222222</c:v>
                </c:pt>
                <c:pt idx="2">
                  <c:v>1109029.6426888888</c:v>
                </c:pt>
                <c:pt idx="3">
                  <c:v>1121358.5425711111</c:v>
                </c:pt>
                <c:pt idx="4">
                  <c:v>1177892.6681427201</c:v>
                </c:pt>
                <c:pt idx="5">
                  <c:v>1210271.1416534982</c:v>
                </c:pt>
                <c:pt idx="6">
                  <c:v>1251717.7651041171</c:v>
                </c:pt>
                <c:pt idx="7">
                  <c:v>1292584.880781688</c:v>
                </c:pt>
                <c:pt idx="8">
                  <c:v>1317102.5706195442</c:v>
                </c:pt>
                <c:pt idx="9">
                  <c:v>1342110.6142541573</c:v>
                </c:pt>
              </c:numCache>
            </c:numRef>
          </c:val>
          <c:extLst>
            <c:ext xmlns:c16="http://schemas.microsoft.com/office/drawing/2014/chart" uri="{C3380CC4-5D6E-409C-BE32-E72D297353CC}">
              <c16:uniqueId val="{00000001-8C20-4D8B-BCD2-17FACFBE20A0}"/>
            </c:ext>
          </c:extLst>
        </c:ser>
        <c:ser>
          <c:idx val="2"/>
          <c:order val="2"/>
          <c:tx>
            <c:strRef>
              <c:f>SR_demand_forecast!$B$204</c:f>
              <c:strCache>
                <c:ptCount val="1"/>
                <c:pt idx="0">
                  <c:v>Near Earth Robotic - GEO and Near Earth</c:v>
                </c:pt>
              </c:strCache>
            </c:strRef>
          </c:tx>
          <c:spPr>
            <a:solidFill>
              <a:schemeClr val="accent3"/>
            </a:solidFill>
            <a:ln>
              <a:noFill/>
            </a:ln>
            <a:effectLst/>
          </c:spPr>
          <c:cat>
            <c:numRef>
              <c:f>SR_demand_forecast!$C$201:$L$201</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SR_demand_forecast!$C$204:$L$204</c:f>
              <c:numCache>
                <c:formatCode>_(* #,##0_);_(* \(#,##0\);_(* "-"??_);_(@_)</c:formatCode>
                <c:ptCount val="10"/>
                <c:pt idx="0">
                  <c:v>7092.8571428571431</c:v>
                </c:pt>
                <c:pt idx="1">
                  <c:v>7092.8571428571431</c:v>
                </c:pt>
                <c:pt idx="2">
                  <c:v>9839.2114285714288</c:v>
                </c:pt>
                <c:pt idx="3">
                  <c:v>10035.995657142856</c:v>
                </c:pt>
                <c:pt idx="4">
                  <c:v>10236.715570285714</c:v>
                </c:pt>
                <c:pt idx="5">
                  <c:v>10441.449881691429</c:v>
                </c:pt>
                <c:pt idx="6">
                  <c:v>10650.278879325257</c:v>
                </c:pt>
                <c:pt idx="7">
                  <c:v>10863.284456911761</c:v>
                </c:pt>
                <c:pt idx="8">
                  <c:v>11080.550146049996</c:v>
                </c:pt>
                <c:pt idx="9">
                  <c:v>11302.161148970996</c:v>
                </c:pt>
              </c:numCache>
            </c:numRef>
          </c:val>
          <c:extLst>
            <c:ext xmlns:c16="http://schemas.microsoft.com/office/drawing/2014/chart" uri="{C3380CC4-5D6E-409C-BE32-E72D297353CC}">
              <c16:uniqueId val="{00000002-8C20-4D8B-BCD2-17FACFBE20A0}"/>
            </c:ext>
          </c:extLst>
        </c:ser>
        <c:ser>
          <c:idx val="3"/>
          <c:order val="3"/>
          <c:tx>
            <c:strRef>
              <c:f>SR_demand_forecast!$B$205</c:f>
              <c:strCache>
                <c:ptCount val="1"/>
                <c:pt idx="0">
                  <c:v>Deep Space Robotic</c:v>
                </c:pt>
              </c:strCache>
            </c:strRef>
          </c:tx>
          <c:spPr>
            <a:solidFill>
              <a:schemeClr val="accent4"/>
            </a:solidFill>
            <a:ln w="25400">
              <a:noFill/>
            </a:ln>
            <a:effectLst/>
          </c:spPr>
          <c:cat>
            <c:numRef>
              <c:f>SR_demand_forecast!$C$201:$L$201</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SR_demand_forecast!$C$205:$L$205</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8C20-4D8B-BCD2-17FACFBE20A0}"/>
            </c:ext>
          </c:extLst>
        </c:ser>
        <c:ser>
          <c:idx val="4"/>
          <c:order val="4"/>
          <c:tx>
            <c:strRef>
              <c:f>SR_demand_forecast!$B$206</c:f>
              <c:strCache>
                <c:ptCount val="1"/>
                <c:pt idx="0">
                  <c:v>Near Earth Robotic - Low Latency &amp; Complex Needs</c:v>
                </c:pt>
              </c:strCache>
            </c:strRef>
          </c:tx>
          <c:spPr>
            <a:solidFill>
              <a:schemeClr val="accent5"/>
            </a:solidFill>
            <a:ln w="25400">
              <a:noFill/>
            </a:ln>
            <a:effectLst/>
          </c:spPr>
          <c:cat>
            <c:numRef>
              <c:f>SR_demand_forecast!$C$201:$L$201</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SR_demand_forecast!$C$206:$L$206</c:f>
              <c:numCache>
                <c:formatCode>_(* #,##0_);_(* \(#,##0\);_(* "-"??_);_(@_)</c:formatCode>
                <c:ptCount val="10"/>
                <c:pt idx="0">
                  <c:v>414.45</c:v>
                </c:pt>
                <c:pt idx="1">
                  <c:v>366.55799999999999</c:v>
                </c:pt>
                <c:pt idx="2">
                  <c:v>316.76873999999998</c:v>
                </c:pt>
                <c:pt idx="3">
                  <c:v>265.02548639999998</c:v>
                </c:pt>
                <c:pt idx="4">
                  <c:v>249.23000483999999</c:v>
                </c:pt>
                <c:pt idx="5">
                  <c:v>203.37168394944001</c:v>
                </c:pt>
                <c:pt idx="6">
                  <c:v>155.57933822132165</c:v>
                </c:pt>
                <c:pt idx="7">
                  <c:v>105.79394999049872</c:v>
                </c:pt>
                <c:pt idx="8">
                  <c:v>53.954914495154377</c:v>
                </c:pt>
                <c:pt idx="9">
                  <c:v>0</c:v>
                </c:pt>
              </c:numCache>
            </c:numRef>
          </c:val>
          <c:extLst>
            <c:ext xmlns:c16="http://schemas.microsoft.com/office/drawing/2014/chart" uri="{C3380CC4-5D6E-409C-BE32-E72D297353CC}">
              <c16:uniqueId val="{00000004-8C20-4D8B-BCD2-17FACFBE20A0}"/>
            </c:ext>
          </c:extLst>
        </c:ser>
        <c:ser>
          <c:idx val="5"/>
          <c:order val="5"/>
          <c:tx>
            <c:strRef>
              <c:f>SR_demand_forecast!$B$207</c:f>
              <c:strCache>
                <c:ptCount val="1"/>
                <c:pt idx="0">
                  <c:v>Mission Operations</c:v>
                </c:pt>
              </c:strCache>
            </c:strRef>
          </c:tx>
          <c:spPr>
            <a:solidFill>
              <a:schemeClr val="accent6"/>
            </a:solidFill>
            <a:ln w="25400">
              <a:noFill/>
            </a:ln>
            <a:effectLst/>
          </c:spPr>
          <c:cat>
            <c:numRef>
              <c:f>SR_demand_forecast!$C$201:$L$201</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SR_demand_forecast!$C$207:$L$207</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8C20-4D8B-BCD2-17FACFBE20A0}"/>
            </c:ext>
          </c:extLst>
        </c:ser>
        <c:ser>
          <c:idx val="6"/>
          <c:order val="6"/>
          <c:tx>
            <c:strRef>
              <c:f>SR_demand_forecast!$B$208</c:f>
              <c:strCache>
                <c:ptCount val="1"/>
                <c:pt idx="0">
                  <c:v>Launch Events</c:v>
                </c:pt>
              </c:strCache>
            </c:strRef>
          </c:tx>
          <c:spPr>
            <a:solidFill>
              <a:schemeClr val="accent1">
                <a:lumMod val="60000"/>
              </a:schemeClr>
            </a:solidFill>
            <a:ln w="25400">
              <a:noFill/>
            </a:ln>
            <a:effectLst/>
          </c:spPr>
          <c:cat>
            <c:numRef>
              <c:f>SR_demand_forecast!$C$201:$L$201</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SR_demand_forecast!$C$208:$L$208</c:f>
              <c:numCache>
                <c:formatCode>_(* #,##0_);_(* \(#,##0\);_(* "-"??_);_(@_)</c:formatCode>
                <c:ptCount val="10"/>
                <c:pt idx="0">
                  <c:v>6882</c:v>
                </c:pt>
                <c:pt idx="1">
                  <c:v>6882</c:v>
                </c:pt>
                <c:pt idx="2">
                  <c:v>6882</c:v>
                </c:pt>
                <c:pt idx="3">
                  <c:v>6882</c:v>
                </c:pt>
                <c:pt idx="4">
                  <c:v>4588</c:v>
                </c:pt>
                <c:pt idx="5">
                  <c:v>4588</c:v>
                </c:pt>
                <c:pt idx="6">
                  <c:v>4588</c:v>
                </c:pt>
                <c:pt idx="7">
                  <c:v>4588</c:v>
                </c:pt>
                <c:pt idx="8">
                  <c:v>4588</c:v>
                </c:pt>
                <c:pt idx="9">
                  <c:v>4588</c:v>
                </c:pt>
              </c:numCache>
            </c:numRef>
          </c:val>
          <c:extLst>
            <c:ext xmlns:c16="http://schemas.microsoft.com/office/drawing/2014/chart" uri="{C3380CC4-5D6E-409C-BE32-E72D297353CC}">
              <c16:uniqueId val="{00000006-8C20-4D8B-BCD2-17FACFBE20A0}"/>
            </c:ext>
          </c:extLst>
        </c:ser>
        <c:ser>
          <c:idx val="7"/>
          <c:order val="7"/>
          <c:tx>
            <c:strRef>
              <c:f>SR_demand_forecast!$B$209</c:f>
              <c:strCache>
                <c:ptCount val="1"/>
                <c:pt idx="0">
                  <c:v>Terrestrial &amp; Aerial</c:v>
                </c:pt>
              </c:strCache>
            </c:strRef>
          </c:tx>
          <c:spPr>
            <a:solidFill>
              <a:schemeClr val="accent2">
                <a:lumMod val="60000"/>
              </a:schemeClr>
            </a:solidFill>
            <a:ln w="25400">
              <a:noFill/>
            </a:ln>
            <a:effectLst/>
          </c:spPr>
          <c:cat>
            <c:numRef>
              <c:f>SR_demand_forecast!$C$201:$L$201</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SR_demand_forecast!$C$209:$L$209</c:f>
              <c:numCache>
                <c:formatCode>_(* #,##0_);_(* \(#,##0\);_(* "-"??_);_(@_)</c:formatCode>
                <c:ptCount val="10"/>
                <c:pt idx="0">
                  <c:v>91096.2</c:v>
                </c:pt>
                <c:pt idx="1">
                  <c:v>81244.314666666673</c:v>
                </c:pt>
                <c:pt idx="2">
                  <c:v>70988.906906666671</c:v>
                </c:pt>
                <c:pt idx="3">
                  <c:v>60317.776577066674</c:v>
                </c:pt>
                <c:pt idx="4">
                  <c:v>49218.39693818667</c:v>
                </c:pt>
                <c:pt idx="5">
                  <c:v>41189.523382553176</c:v>
                </c:pt>
                <c:pt idx="6">
                  <c:v>29939.736408231212</c:v>
                </c:pt>
                <c:pt idx="7">
                  <c:v>18236.977878916696</c:v>
                </c:pt>
                <c:pt idx="8">
                  <c:v>6067.6288471996377</c:v>
                </c:pt>
                <c:pt idx="9">
                  <c:v>-6582.2932036043348</c:v>
                </c:pt>
              </c:numCache>
            </c:numRef>
          </c:val>
          <c:extLst>
            <c:ext xmlns:c16="http://schemas.microsoft.com/office/drawing/2014/chart" uri="{C3380CC4-5D6E-409C-BE32-E72D297353CC}">
              <c16:uniqueId val="{00000007-8C20-4D8B-BCD2-17FACFBE20A0}"/>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Minutes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SR Demand Forecast by Replacement Rate (High)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5781468523627276"/>
          <c:y val="0.16999583891062464"/>
          <c:w val="0.79973806443103357"/>
          <c:h val="0.57664470395815959"/>
        </c:manualLayout>
      </c:layout>
      <c:areaChart>
        <c:grouping val="stacked"/>
        <c:varyColors val="0"/>
        <c:ser>
          <c:idx val="0"/>
          <c:order val="0"/>
          <c:tx>
            <c:strRef>
              <c:f>SR_demand_forecast!$B$215</c:f>
              <c:strCache>
                <c:ptCount val="1"/>
                <c:pt idx="0">
                  <c:v>Existing</c:v>
                </c:pt>
              </c:strCache>
            </c:strRef>
          </c:tx>
          <c:spPr>
            <a:solidFill>
              <a:schemeClr val="accent1"/>
            </a:solidFill>
            <a:ln>
              <a:noFill/>
            </a:ln>
            <a:effectLst/>
          </c:spPr>
          <c:cat>
            <c:numRef>
              <c:f>SR_demand_forecast!$C$214:$L$214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SR_demand_forecast!$C$215:$L$215</c:f>
              <c:numCache>
                <c:formatCode>_(* #,##0_);_(* \(#,##0\);_(* "-"??_);_(@_)</c:formatCode>
                <c:ptCount val="10"/>
                <c:pt idx="0">
                  <c:v>1676114.912698413</c:v>
                </c:pt>
                <c:pt idx="1">
                  <c:v>1442274.4126984125</c:v>
                </c:pt>
                <c:pt idx="2">
                  <c:v>1435181.5555555555</c:v>
                </c:pt>
                <c:pt idx="3">
                  <c:v>1301780.7777777778</c:v>
                </c:pt>
                <c:pt idx="4">
                  <c:v>1131886.1666666667</c:v>
                </c:pt>
                <c:pt idx="5">
                  <c:v>898045.66666666674</c:v>
                </c:pt>
                <c:pt idx="6">
                  <c:v>697944.49999999988</c:v>
                </c:pt>
                <c:pt idx="7">
                  <c:v>564543.72222222225</c:v>
                </c:pt>
                <c:pt idx="8">
                  <c:v>564543.72222222225</c:v>
                </c:pt>
                <c:pt idx="9">
                  <c:v>564543.72222222225</c:v>
                </c:pt>
              </c:numCache>
            </c:numRef>
          </c:val>
          <c:extLst>
            <c:ext xmlns:c16="http://schemas.microsoft.com/office/drawing/2014/chart" uri="{C3380CC4-5D6E-409C-BE32-E72D297353CC}">
              <c16:uniqueId val="{00000000-2C27-4DC8-B24B-4ACAFECA47E0}"/>
            </c:ext>
          </c:extLst>
        </c:ser>
        <c:ser>
          <c:idx val="1"/>
          <c:order val="1"/>
          <c:tx>
            <c:strRef>
              <c:f>SR_demand_forecast!$B$216</c:f>
              <c:strCache>
                <c:ptCount val="1"/>
                <c:pt idx="0">
                  <c:v>Replacement</c:v>
                </c:pt>
              </c:strCache>
            </c:strRef>
          </c:tx>
          <c:spPr>
            <a:solidFill>
              <a:schemeClr val="accent2"/>
            </a:solidFill>
            <a:ln>
              <a:noFill/>
            </a:ln>
            <a:effectLst/>
          </c:spPr>
          <c:cat>
            <c:numRef>
              <c:f>SR_demand_forecast!$C$214:$L$214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SR_demand_forecast!$C$216:$L$216</c:f>
              <c:numCache>
                <c:formatCode>_(* #,##0_);_(* \(#,##0\);_(* "-"??_);_(@_)</c:formatCode>
                <c:ptCount val="10"/>
                <c:pt idx="0">
                  <c:v>-67607.350000000006</c:v>
                </c:pt>
                <c:pt idx="1">
                  <c:v>32563.919333333339</c:v>
                </c:pt>
                <c:pt idx="2">
                  <c:v>42110.806808571433</c:v>
                </c:pt>
                <c:pt idx="3">
                  <c:v>112773.53484994287</c:v>
                </c:pt>
                <c:pt idx="4">
                  <c:v>258943.03371776579</c:v>
                </c:pt>
                <c:pt idx="5">
                  <c:v>447656.72416258708</c:v>
                </c:pt>
                <c:pt idx="6">
                  <c:v>605819.41576069302</c:v>
                </c:pt>
                <c:pt idx="7">
                  <c:v>693511.77158975822</c:v>
                </c:pt>
                <c:pt idx="8">
                  <c:v>628169.22116935009</c:v>
                </c:pt>
                <c:pt idx="9">
                  <c:v>559935.56402348937</c:v>
                </c:pt>
              </c:numCache>
            </c:numRef>
          </c:val>
          <c:extLst>
            <c:ext xmlns:c16="http://schemas.microsoft.com/office/drawing/2014/chart" uri="{C3380CC4-5D6E-409C-BE32-E72D297353CC}">
              <c16:uniqueId val="{00000001-2C27-4DC8-B24B-4ACAFECA47E0}"/>
            </c:ext>
          </c:extLst>
        </c:ser>
        <c:dLbls>
          <c:showLegendKey val="0"/>
          <c:showVal val="0"/>
          <c:showCatName val="0"/>
          <c:showSerName val="0"/>
          <c:showPercent val="0"/>
          <c:showBubbleSize val="0"/>
        </c:dLbls>
        <c:axId val="1043470975"/>
        <c:axId val="1043473471"/>
      </c:areaChart>
      <c:catAx>
        <c:axId val="104347097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473471"/>
        <c:crosses val="autoZero"/>
        <c:auto val="1"/>
        <c:lblAlgn val="ctr"/>
        <c:lblOffset val="100"/>
        <c:noMultiLvlLbl val="0"/>
      </c:catAx>
      <c:valAx>
        <c:axId val="104347347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Minutes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470975"/>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Cost of Production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1"/>
          <c:order val="1"/>
          <c:tx>
            <c:strRef>
              <c:f>'Costs - SR'!$L$50</c:f>
              <c:strCache>
                <c:ptCount val="1"/>
                <c:pt idx="0">
                  <c:v>Fixed cost ($m)</c:v>
                </c:pt>
              </c:strCache>
            </c:strRef>
          </c:tx>
          <c:spPr>
            <a:solidFill>
              <a:schemeClr val="accent2"/>
            </a:solidFill>
            <a:ln>
              <a:noFill/>
            </a:ln>
            <a:effectLst/>
          </c:spPr>
          <c:invertIfNegative val="0"/>
          <c:cat>
            <c:numRef>
              <c:f>'Costs - SR'!$G$52:$G$71</c:f>
              <c:numCache>
                <c:formatCode>_(* #,##0_);_(* \(#,##0\);_(* "-"??_);_(@_)</c:formatCode>
                <c:ptCount val="20"/>
                <c:pt idx="0">
                  <c:v>525600</c:v>
                </c:pt>
                <c:pt idx="1">
                  <c:v>1051200</c:v>
                </c:pt>
                <c:pt idx="2">
                  <c:v>1576800</c:v>
                </c:pt>
                <c:pt idx="3">
                  <c:v>2102400</c:v>
                </c:pt>
                <c:pt idx="4">
                  <c:v>2628000</c:v>
                </c:pt>
                <c:pt idx="5">
                  <c:v>3153600</c:v>
                </c:pt>
                <c:pt idx="6">
                  <c:v>3679200</c:v>
                </c:pt>
                <c:pt idx="7">
                  <c:v>4204800</c:v>
                </c:pt>
                <c:pt idx="8">
                  <c:v>4730400</c:v>
                </c:pt>
                <c:pt idx="9">
                  <c:v>5256000</c:v>
                </c:pt>
                <c:pt idx="10">
                  <c:v>5781600</c:v>
                </c:pt>
                <c:pt idx="11">
                  <c:v>6307200</c:v>
                </c:pt>
                <c:pt idx="12">
                  <c:v>6832800</c:v>
                </c:pt>
                <c:pt idx="13">
                  <c:v>7358400</c:v>
                </c:pt>
                <c:pt idx="14">
                  <c:v>7884000</c:v>
                </c:pt>
                <c:pt idx="15">
                  <c:v>8409600</c:v>
                </c:pt>
                <c:pt idx="16">
                  <c:v>8935200</c:v>
                </c:pt>
                <c:pt idx="17">
                  <c:v>9460800</c:v>
                </c:pt>
                <c:pt idx="18">
                  <c:v>9986400</c:v>
                </c:pt>
                <c:pt idx="19">
                  <c:v>10512000</c:v>
                </c:pt>
              </c:numCache>
            </c:numRef>
          </c:cat>
          <c:val>
            <c:numRef>
              <c:f>'Costs - SR'!$L$52:$L$71</c:f>
              <c:numCache>
                <c:formatCode>_(* #,##0_);_(* \(#,##0\);_(* "-"??_);_(@_)</c:formatCode>
                <c:ptCount val="20"/>
                <c:pt idx="0">
                  <c:v>714.49073938580511</c:v>
                </c:pt>
                <c:pt idx="1">
                  <c:v>714.49073938580511</c:v>
                </c:pt>
                <c:pt idx="2">
                  <c:v>714.49073938580511</c:v>
                </c:pt>
                <c:pt idx="3">
                  <c:v>714.49073938580511</c:v>
                </c:pt>
                <c:pt idx="4">
                  <c:v>714.49073938580511</c:v>
                </c:pt>
                <c:pt idx="5">
                  <c:v>714.49073938580511</c:v>
                </c:pt>
                <c:pt idx="6">
                  <c:v>714.49073938580511</c:v>
                </c:pt>
                <c:pt idx="7">
                  <c:v>714.49073938580511</c:v>
                </c:pt>
                <c:pt idx="8">
                  <c:v>714.49073938580511</c:v>
                </c:pt>
                <c:pt idx="9">
                  <c:v>714.49073938580511</c:v>
                </c:pt>
                <c:pt idx="10">
                  <c:v>714.49073938580511</c:v>
                </c:pt>
                <c:pt idx="11">
                  <c:v>714.49073938580511</c:v>
                </c:pt>
                <c:pt idx="12">
                  <c:v>714.49073938580511</c:v>
                </c:pt>
                <c:pt idx="13">
                  <c:v>714.49073938580511</c:v>
                </c:pt>
                <c:pt idx="14">
                  <c:v>714.49073938580511</c:v>
                </c:pt>
                <c:pt idx="15">
                  <c:v>714.49073938580511</c:v>
                </c:pt>
                <c:pt idx="16">
                  <c:v>714.49073938580511</c:v>
                </c:pt>
                <c:pt idx="17">
                  <c:v>714.49073938580511</c:v>
                </c:pt>
                <c:pt idx="18">
                  <c:v>714.49073938580511</c:v>
                </c:pt>
                <c:pt idx="19">
                  <c:v>714.49073938580511</c:v>
                </c:pt>
              </c:numCache>
            </c:numRef>
          </c:val>
          <c:extLst>
            <c:ext xmlns:c16="http://schemas.microsoft.com/office/drawing/2014/chart" uri="{C3380CC4-5D6E-409C-BE32-E72D297353CC}">
              <c16:uniqueId val="{00000001-76AC-46A6-AFF8-1D1F69E3E4C0}"/>
            </c:ext>
          </c:extLst>
        </c:ser>
        <c:ser>
          <c:idx val="2"/>
          <c:order val="2"/>
          <c:tx>
            <c:strRef>
              <c:f>'Costs - SR'!$M$50</c:f>
              <c:strCache>
                <c:ptCount val="1"/>
                <c:pt idx="0">
                  <c:v>Variable cost ($m)</c:v>
                </c:pt>
              </c:strCache>
            </c:strRef>
          </c:tx>
          <c:spPr>
            <a:solidFill>
              <a:schemeClr val="accent3"/>
            </a:solidFill>
            <a:ln>
              <a:noFill/>
            </a:ln>
            <a:effectLst/>
          </c:spPr>
          <c:invertIfNegative val="0"/>
          <c:cat>
            <c:numRef>
              <c:f>'Costs - SR'!$G$52:$G$71</c:f>
              <c:numCache>
                <c:formatCode>_(* #,##0_);_(* \(#,##0\);_(* "-"??_);_(@_)</c:formatCode>
                <c:ptCount val="20"/>
                <c:pt idx="0">
                  <c:v>525600</c:v>
                </c:pt>
                <c:pt idx="1">
                  <c:v>1051200</c:v>
                </c:pt>
                <c:pt idx="2">
                  <c:v>1576800</c:v>
                </c:pt>
                <c:pt idx="3">
                  <c:v>2102400</c:v>
                </c:pt>
                <c:pt idx="4">
                  <c:v>2628000</c:v>
                </c:pt>
                <c:pt idx="5">
                  <c:v>3153600</c:v>
                </c:pt>
                <c:pt idx="6">
                  <c:v>3679200</c:v>
                </c:pt>
                <c:pt idx="7">
                  <c:v>4204800</c:v>
                </c:pt>
                <c:pt idx="8">
                  <c:v>4730400</c:v>
                </c:pt>
                <c:pt idx="9">
                  <c:v>5256000</c:v>
                </c:pt>
                <c:pt idx="10">
                  <c:v>5781600</c:v>
                </c:pt>
                <c:pt idx="11">
                  <c:v>6307200</c:v>
                </c:pt>
                <c:pt idx="12">
                  <c:v>6832800</c:v>
                </c:pt>
                <c:pt idx="13">
                  <c:v>7358400</c:v>
                </c:pt>
                <c:pt idx="14">
                  <c:v>7884000</c:v>
                </c:pt>
                <c:pt idx="15">
                  <c:v>8409600</c:v>
                </c:pt>
                <c:pt idx="16">
                  <c:v>8935200</c:v>
                </c:pt>
                <c:pt idx="17">
                  <c:v>9460800</c:v>
                </c:pt>
                <c:pt idx="18">
                  <c:v>9986400</c:v>
                </c:pt>
                <c:pt idx="19">
                  <c:v>10512000</c:v>
                </c:pt>
              </c:numCache>
            </c:numRef>
          </c:cat>
          <c:val>
            <c:numRef>
              <c:f>'Costs - SR'!$M$52:$M$71</c:f>
              <c:numCache>
                <c:formatCode>_(* #,##0_);_(* \(#,##0\);_(* "-"??_);_(@_)</c:formatCode>
                <c:ptCount val="20"/>
                <c:pt idx="0">
                  <c:v>0</c:v>
                </c:pt>
                <c:pt idx="1">
                  <c:v>184.98675575076635</c:v>
                </c:pt>
                <c:pt idx="2">
                  <c:v>369.9735115015327</c:v>
                </c:pt>
                <c:pt idx="3">
                  <c:v>554.96026725229899</c:v>
                </c:pt>
                <c:pt idx="4">
                  <c:v>739.9470230030654</c:v>
                </c:pt>
                <c:pt idx="5">
                  <c:v>924.9337787538318</c:v>
                </c:pt>
                <c:pt idx="6">
                  <c:v>1109.9205345045982</c:v>
                </c:pt>
                <c:pt idx="7">
                  <c:v>1294.9072902553646</c:v>
                </c:pt>
                <c:pt idx="8">
                  <c:v>1479.894046006131</c:v>
                </c:pt>
                <c:pt idx="9">
                  <c:v>1664.8808017568974</c:v>
                </c:pt>
                <c:pt idx="10">
                  <c:v>1849.8675575076638</c:v>
                </c:pt>
                <c:pt idx="11">
                  <c:v>2034.8543132584302</c:v>
                </c:pt>
                <c:pt idx="12">
                  <c:v>2219.8410690091964</c:v>
                </c:pt>
                <c:pt idx="13">
                  <c:v>2404.8278247599628</c:v>
                </c:pt>
                <c:pt idx="14">
                  <c:v>2589.8145805107292</c:v>
                </c:pt>
                <c:pt idx="15">
                  <c:v>2774.8013362614956</c:v>
                </c:pt>
                <c:pt idx="16">
                  <c:v>2959.788092012262</c:v>
                </c:pt>
                <c:pt idx="17">
                  <c:v>3144.7748477630284</c:v>
                </c:pt>
                <c:pt idx="18">
                  <c:v>3329.7616035137949</c:v>
                </c:pt>
                <c:pt idx="19">
                  <c:v>3514.7483592645613</c:v>
                </c:pt>
              </c:numCache>
            </c:numRef>
          </c:val>
          <c:extLst>
            <c:ext xmlns:c16="http://schemas.microsoft.com/office/drawing/2014/chart" uri="{C3380CC4-5D6E-409C-BE32-E72D297353CC}">
              <c16:uniqueId val="{00000002-76AC-46A6-AFF8-1D1F69E3E4C0}"/>
            </c:ext>
          </c:extLst>
        </c:ser>
        <c:dLbls>
          <c:showLegendKey val="0"/>
          <c:showVal val="0"/>
          <c:showCatName val="0"/>
          <c:showSerName val="0"/>
          <c:showPercent val="0"/>
          <c:showBubbleSize val="0"/>
        </c:dLbls>
        <c:gapWidth val="150"/>
        <c:overlap val="100"/>
        <c:axId val="1575648544"/>
        <c:axId val="1521493440"/>
      </c:barChart>
      <c:lineChart>
        <c:grouping val="standard"/>
        <c:varyColors val="0"/>
        <c:ser>
          <c:idx val="0"/>
          <c:order val="0"/>
          <c:tx>
            <c:strRef>
              <c:f>'Costs - SR'!$K$50</c:f>
              <c:strCache>
                <c:ptCount val="1"/>
                <c:pt idx="0">
                  <c:v>Total cost ($m)</c:v>
                </c:pt>
              </c:strCache>
            </c:strRef>
          </c:tx>
          <c:spPr>
            <a:ln w="28575" cap="rnd">
              <a:noFill/>
              <a:round/>
            </a:ln>
            <a:effectLst/>
          </c:spPr>
          <c:marker>
            <c:symbol val="none"/>
          </c:marker>
          <c:dLbls>
            <c:numFmt formatCode="&quot;$&quot;#,##0" sourceLinked="0"/>
            <c:spPr>
              <a:noFill/>
              <a:ln>
                <a:noFill/>
              </a:ln>
              <a:effectLst/>
            </c:spPr>
            <c:txPr>
              <a:bodyPr rot="-5400000" spcFirstLastPara="1" vertOverflow="ellipsis"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'Costs - SR'!$G$52:$G$71</c:f>
              <c:numCache>
                <c:formatCode>_(* #,##0_);_(* \(#,##0\);_(* "-"??_);_(@_)</c:formatCode>
                <c:ptCount val="20"/>
                <c:pt idx="0">
                  <c:v>525600</c:v>
                </c:pt>
                <c:pt idx="1">
                  <c:v>1051200</c:v>
                </c:pt>
                <c:pt idx="2">
                  <c:v>1576800</c:v>
                </c:pt>
                <c:pt idx="3">
                  <c:v>2102400</c:v>
                </c:pt>
                <c:pt idx="4">
                  <c:v>2628000</c:v>
                </c:pt>
                <c:pt idx="5">
                  <c:v>3153600</c:v>
                </c:pt>
                <c:pt idx="6">
                  <c:v>3679200</c:v>
                </c:pt>
                <c:pt idx="7">
                  <c:v>4204800</c:v>
                </c:pt>
                <c:pt idx="8">
                  <c:v>4730400</c:v>
                </c:pt>
                <c:pt idx="9">
                  <c:v>5256000</c:v>
                </c:pt>
                <c:pt idx="10">
                  <c:v>5781600</c:v>
                </c:pt>
                <c:pt idx="11">
                  <c:v>6307200</c:v>
                </c:pt>
                <c:pt idx="12">
                  <c:v>6832800</c:v>
                </c:pt>
                <c:pt idx="13">
                  <c:v>7358400</c:v>
                </c:pt>
                <c:pt idx="14">
                  <c:v>7884000</c:v>
                </c:pt>
                <c:pt idx="15">
                  <c:v>8409600</c:v>
                </c:pt>
                <c:pt idx="16">
                  <c:v>8935200</c:v>
                </c:pt>
                <c:pt idx="17">
                  <c:v>9460800</c:v>
                </c:pt>
                <c:pt idx="18">
                  <c:v>9986400</c:v>
                </c:pt>
                <c:pt idx="19">
                  <c:v>10512000</c:v>
                </c:pt>
              </c:numCache>
            </c:numRef>
          </c:cat>
          <c:val>
            <c:numRef>
              <c:f>'Costs - SR'!$K$52:$K$71</c:f>
              <c:numCache>
                <c:formatCode>_(* #,##0_);_(* \(#,##0\);_(* "-"??_);_(@_)</c:formatCode>
                <c:ptCount val="20"/>
                <c:pt idx="0">
                  <c:v>714.49073938580511</c:v>
                </c:pt>
                <c:pt idx="1">
                  <c:v>899.47749513657141</c:v>
                </c:pt>
                <c:pt idx="2">
                  <c:v>1084.4642508873378</c:v>
                </c:pt>
                <c:pt idx="3">
                  <c:v>1269.451006638104</c:v>
                </c:pt>
                <c:pt idx="4">
                  <c:v>1454.4377623888704</c:v>
                </c:pt>
                <c:pt idx="5">
                  <c:v>1639.4245181396368</c:v>
                </c:pt>
                <c:pt idx="6">
                  <c:v>1824.4112738904032</c:v>
                </c:pt>
                <c:pt idx="7">
                  <c:v>2009.3980296411696</c:v>
                </c:pt>
                <c:pt idx="8">
                  <c:v>2194.384785391936</c:v>
                </c:pt>
                <c:pt idx="9">
                  <c:v>2379.3715411427024</c:v>
                </c:pt>
                <c:pt idx="10">
                  <c:v>2564.3582968934688</c:v>
                </c:pt>
                <c:pt idx="11">
                  <c:v>2749.3450526442352</c:v>
                </c:pt>
                <c:pt idx="12">
                  <c:v>2934.3318083950016</c:v>
                </c:pt>
                <c:pt idx="13">
                  <c:v>3119.3185641457681</c:v>
                </c:pt>
                <c:pt idx="14">
                  <c:v>3304.3053198965345</c:v>
                </c:pt>
                <c:pt idx="15">
                  <c:v>3489.2920756473009</c:v>
                </c:pt>
                <c:pt idx="16">
                  <c:v>3674.2788313980673</c:v>
                </c:pt>
                <c:pt idx="17">
                  <c:v>3859.2655871488337</c:v>
                </c:pt>
                <c:pt idx="18">
                  <c:v>4044.2523428996001</c:v>
                </c:pt>
                <c:pt idx="19">
                  <c:v>4229.239098650366</c:v>
                </c:pt>
              </c:numCache>
            </c:numRef>
          </c:val>
          <c:smooth val="0"/>
          <c:extLst>
            <c:ext xmlns:c16="http://schemas.microsoft.com/office/drawing/2014/chart" uri="{C3380CC4-5D6E-409C-BE32-E72D297353CC}">
              <c16:uniqueId val="{00000000-76AC-46A6-AFF8-1D1F69E3E4C0}"/>
            </c:ext>
          </c:extLst>
        </c:ser>
        <c:dLbls>
          <c:showLegendKey val="0"/>
          <c:showVal val="0"/>
          <c:showCatName val="0"/>
          <c:showSerName val="0"/>
          <c:showPercent val="0"/>
          <c:showBubbleSize val="0"/>
        </c:dLbls>
        <c:marker val="1"/>
        <c:smooth val="0"/>
        <c:axId val="1575648544"/>
        <c:axId val="1521493440"/>
      </c:lineChart>
      <c:catAx>
        <c:axId val="157564854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Total Output of LEO Network (Minutes)</a:t>
                </a:r>
                <a:endParaRPr lang="en-US" sz="400">
                  <a:effectLst/>
                </a:endParaRP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1493440"/>
        <c:crosses val="autoZero"/>
        <c:auto val="1"/>
        <c:lblAlgn val="ctr"/>
        <c:lblOffset val="100"/>
        <c:noMultiLvlLbl val="0"/>
      </c:catAx>
      <c:valAx>
        <c:axId val="152149344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Cost (US$ Mn)</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5648544"/>
        <c:crosses val="autoZero"/>
        <c:crossBetween val="between"/>
      </c:valAx>
      <c:spPr>
        <a:noFill/>
        <a:ln>
          <a:noFill/>
        </a:ln>
        <a:effectLst/>
      </c:spPr>
    </c:plotArea>
    <c:legend>
      <c:legendPos val="b"/>
      <c:legendEntry>
        <c:idx val="2"/>
        <c:delete val="1"/>
      </c:legendEntry>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Total Cost Per Minute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1"/>
          <c:order val="1"/>
          <c:tx>
            <c:strRef>
              <c:f>'Costs - SR'!$O$50</c:f>
              <c:strCache>
                <c:ptCount val="1"/>
                <c:pt idx="0">
                  <c:v>Average fixed cost (US$/Min)</c:v>
                </c:pt>
              </c:strCache>
            </c:strRef>
          </c:tx>
          <c:spPr>
            <a:solidFill>
              <a:schemeClr val="accent2"/>
            </a:solidFill>
            <a:ln>
              <a:noFill/>
            </a:ln>
            <a:effectLst/>
          </c:spPr>
          <c:invertIfNegative val="0"/>
          <c:val>
            <c:numRef>
              <c:f>'Costs - SR'!$O$52:$O$71</c:f>
              <c:numCache>
                <c:formatCode>0</c:formatCode>
                <c:ptCount val="20"/>
                <c:pt idx="0">
                  <c:v>1359.3811632150021</c:v>
                </c:pt>
                <c:pt idx="1">
                  <c:v>679.69058160750103</c:v>
                </c:pt>
                <c:pt idx="2">
                  <c:v>453.12705440500071</c:v>
                </c:pt>
                <c:pt idx="3">
                  <c:v>339.84529080375052</c:v>
                </c:pt>
                <c:pt idx="4">
                  <c:v>271.87623264300038</c:v>
                </c:pt>
                <c:pt idx="5">
                  <c:v>226.56352720250035</c:v>
                </c:pt>
                <c:pt idx="6">
                  <c:v>194.19730903071456</c:v>
                </c:pt>
                <c:pt idx="7">
                  <c:v>169.92264540187526</c:v>
                </c:pt>
                <c:pt idx="8">
                  <c:v>151.04235146833358</c:v>
                </c:pt>
                <c:pt idx="9">
                  <c:v>135.93811632150019</c:v>
                </c:pt>
                <c:pt idx="10">
                  <c:v>123.58010574681838</c:v>
                </c:pt>
                <c:pt idx="11">
                  <c:v>113.28176360125018</c:v>
                </c:pt>
                <c:pt idx="12">
                  <c:v>104.5677817857694</c:v>
                </c:pt>
                <c:pt idx="13">
                  <c:v>97.098654515357282</c:v>
                </c:pt>
                <c:pt idx="14">
                  <c:v>90.62541088100015</c:v>
                </c:pt>
                <c:pt idx="15">
                  <c:v>84.961322700937629</c:v>
                </c:pt>
                <c:pt idx="16">
                  <c:v>79.963597836176589</c:v>
                </c:pt>
                <c:pt idx="17">
                  <c:v>75.521175734166789</c:v>
                </c:pt>
                <c:pt idx="18">
                  <c:v>71.546377011315911</c:v>
                </c:pt>
                <c:pt idx="19">
                  <c:v>67.969058160750095</c:v>
                </c:pt>
              </c:numCache>
            </c:numRef>
          </c:val>
          <c:extLst>
            <c:ext xmlns:c16="http://schemas.microsoft.com/office/drawing/2014/chart" uri="{C3380CC4-5D6E-409C-BE32-E72D297353CC}">
              <c16:uniqueId val="{00000000-05C3-4608-BC8E-6A5C3344CDB6}"/>
            </c:ext>
          </c:extLst>
        </c:ser>
        <c:ser>
          <c:idx val="2"/>
          <c:order val="2"/>
          <c:tx>
            <c:strRef>
              <c:f>'Costs - SR'!$P$50</c:f>
              <c:strCache>
                <c:ptCount val="1"/>
                <c:pt idx="0">
                  <c:v>Average variable cost (US$/Min)</c:v>
                </c:pt>
              </c:strCache>
            </c:strRef>
          </c:tx>
          <c:spPr>
            <a:solidFill>
              <a:schemeClr val="accent3"/>
            </a:solidFill>
            <a:ln>
              <a:noFill/>
            </a:ln>
            <a:effectLst/>
          </c:spPr>
          <c:invertIfNegative val="0"/>
          <c:val>
            <c:numRef>
              <c:f>'Costs - SR'!$P$52:$P$71</c:f>
              <c:numCache>
                <c:formatCode>0</c:formatCode>
                <c:ptCount val="20"/>
                <c:pt idx="0">
                  <c:v>0</c:v>
                </c:pt>
                <c:pt idx="1">
                  <c:v>175.97674633824803</c:v>
                </c:pt>
                <c:pt idx="2">
                  <c:v>234.63566178433072</c:v>
                </c:pt>
                <c:pt idx="3">
                  <c:v>263.96511950737204</c:v>
                </c:pt>
                <c:pt idx="4">
                  <c:v>281.56279414119689</c:v>
                </c:pt>
                <c:pt idx="5">
                  <c:v>293.29457723041344</c:v>
                </c:pt>
                <c:pt idx="6">
                  <c:v>301.6744222941395</c:v>
                </c:pt>
                <c:pt idx="7">
                  <c:v>307.95930609193414</c:v>
                </c:pt>
                <c:pt idx="8">
                  <c:v>312.84754904577431</c:v>
                </c:pt>
                <c:pt idx="9">
                  <c:v>316.75814340884654</c:v>
                </c:pt>
                <c:pt idx="10">
                  <c:v>319.9577206149965</c:v>
                </c:pt>
                <c:pt idx="11">
                  <c:v>322.62403495345484</c:v>
                </c:pt>
                <c:pt idx="12">
                  <c:v>324.88014708599644</c:v>
                </c:pt>
                <c:pt idx="13">
                  <c:v>326.81395748531781</c:v>
                </c:pt>
                <c:pt idx="14">
                  <c:v>328.48992649806308</c:v>
                </c:pt>
                <c:pt idx="15">
                  <c:v>329.95639938421516</c:v>
                </c:pt>
                <c:pt idx="16">
                  <c:v>331.25034604846695</c:v>
                </c:pt>
                <c:pt idx="17">
                  <c:v>332.40052086113525</c:v>
                </c:pt>
                <c:pt idx="18">
                  <c:v>333.42962464089106</c:v>
                </c:pt>
                <c:pt idx="19">
                  <c:v>334.35581804267133</c:v>
                </c:pt>
              </c:numCache>
            </c:numRef>
          </c:val>
          <c:extLst>
            <c:ext xmlns:c16="http://schemas.microsoft.com/office/drawing/2014/chart" uri="{C3380CC4-5D6E-409C-BE32-E72D297353CC}">
              <c16:uniqueId val="{00000001-05C3-4608-BC8E-6A5C3344CDB6}"/>
            </c:ext>
          </c:extLst>
        </c:ser>
        <c:dLbls>
          <c:showLegendKey val="0"/>
          <c:showVal val="0"/>
          <c:showCatName val="0"/>
          <c:showSerName val="0"/>
          <c:showPercent val="0"/>
          <c:showBubbleSize val="0"/>
        </c:dLbls>
        <c:gapWidth val="150"/>
        <c:overlap val="100"/>
        <c:axId val="1575648544"/>
        <c:axId val="1521493440"/>
      </c:barChart>
      <c:lineChart>
        <c:grouping val="standard"/>
        <c:varyColors val="0"/>
        <c:ser>
          <c:idx val="0"/>
          <c:order val="0"/>
          <c:tx>
            <c:strRef>
              <c:f>'Costs - SR'!$N$50</c:f>
              <c:strCache>
                <c:ptCount val="1"/>
                <c:pt idx="0">
                  <c:v>Average total cost ($/Min)</c:v>
                </c:pt>
              </c:strCache>
            </c:strRef>
          </c:tx>
          <c:spPr>
            <a:ln w="28575" cap="rnd">
              <a:noFill/>
              <a:round/>
            </a:ln>
            <a:effectLst/>
          </c:spPr>
          <c:marker>
            <c:symbol val="none"/>
          </c:marker>
          <c:dLbls>
            <c:numFmt formatCode="&quot;$&quot;#,##0" sourceLinked="0"/>
            <c:spPr>
              <a:noFill/>
              <a:ln>
                <a:noFill/>
              </a:ln>
              <a:effectLst/>
            </c:spPr>
            <c:txPr>
              <a:bodyPr rot="-5400000" spcFirstLastPara="1" vertOverflow="ellipsis"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'Costs - SR'!$G$52:$G$71</c:f>
              <c:numCache>
                <c:formatCode>_(* #,##0_);_(* \(#,##0\);_(* "-"??_);_(@_)</c:formatCode>
                <c:ptCount val="20"/>
                <c:pt idx="0">
                  <c:v>525600</c:v>
                </c:pt>
                <c:pt idx="1">
                  <c:v>1051200</c:v>
                </c:pt>
                <c:pt idx="2">
                  <c:v>1576800</c:v>
                </c:pt>
                <c:pt idx="3">
                  <c:v>2102400</c:v>
                </c:pt>
                <c:pt idx="4">
                  <c:v>2628000</c:v>
                </c:pt>
                <c:pt idx="5">
                  <c:v>3153600</c:v>
                </c:pt>
                <c:pt idx="6">
                  <c:v>3679200</c:v>
                </c:pt>
                <c:pt idx="7">
                  <c:v>4204800</c:v>
                </c:pt>
                <c:pt idx="8">
                  <c:v>4730400</c:v>
                </c:pt>
                <c:pt idx="9">
                  <c:v>5256000</c:v>
                </c:pt>
                <c:pt idx="10">
                  <c:v>5781600</c:v>
                </c:pt>
                <c:pt idx="11">
                  <c:v>6307200</c:v>
                </c:pt>
                <c:pt idx="12">
                  <c:v>6832800</c:v>
                </c:pt>
                <c:pt idx="13">
                  <c:v>7358400</c:v>
                </c:pt>
                <c:pt idx="14">
                  <c:v>7884000</c:v>
                </c:pt>
                <c:pt idx="15">
                  <c:v>8409600</c:v>
                </c:pt>
                <c:pt idx="16">
                  <c:v>8935200</c:v>
                </c:pt>
                <c:pt idx="17">
                  <c:v>9460800</c:v>
                </c:pt>
                <c:pt idx="18">
                  <c:v>9986400</c:v>
                </c:pt>
                <c:pt idx="19">
                  <c:v>10512000</c:v>
                </c:pt>
              </c:numCache>
            </c:numRef>
          </c:cat>
          <c:val>
            <c:numRef>
              <c:f>'Costs - SR'!$N$52:$N$71</c:f>
              <c:numCache>
                <c:formatCode>_(* #,##0_);_(* \(#,##0\);_(* "-"??_);_(@_)</c:formatCode>
                <c:ptCount val="20"/>
                <c:pt idx="0">
                  <c:v>1359.3811632150021</c:v>
                </c:pt>
                <c:pt idx="1">
                  <c:v>855.66732794574909</c:v>
                </c:pt>
                <c:pt idx="2">
                  <c:v>687.7627161893314</c:v>
                </c:pt>
                <c:pt idx="3">
                  <c:v>603.8104103111225</c:v>
                </c:pt>
                <c:pt idx="4">
                  <c:v>553.43902678419727</c:v>
                </c:pt>
                <c:pt idx="5">
                  <c:v>519.85810443291382</c:v>
                </c:pt>
                <c:pt idx="6">
                  <c:v>495.87173132485407</c:v>
                </c:pt>
                <c:pt idx="7">
                  <c:v>477.88195149380942</c:v>
                </c:pt>
                <c:pt idx="8">
                  <c:v>463.88990051410792</c:v>
                </c:pt>
                <c:pt idx="9">
                  <c:v>452.6962597303467</c:v>
                </c:pt>
                <c:pt idx="10">
                  <c:v>443.53782636181489</c:v>
                </c:pt>
                <c:pt idx="11">
                  <c:v>435.90579855470503</c:v>
                </c:pt>
                <c:pt idx="12">
                  <c:v>429.44792887176584</c:v>
                </c:pt>
                <c:pt idx="13">
                  <c:v>423.9126120006751</c:v>
                </c:pt>
                <c:pt idx="14">
                  <c:v>419.11533737906325</c:v>
                </c:pt>
                <c:pt idx="15">
                  <c:v>414.91772208515277</c:v>
                </c:pt>
                <c:pt idx="16">
                  <c:v>411.21394388464353</c:v>
                </c:pt>
                <c:pt idx="17">
                  <c:v>407.92169659530202</c:v>
                </c:pt>
                <c:pt idx="18">
                  <c:v>404.97600165220695</c:v>
                </c:pt>
                <c:pt idx="19">
                  <c:v>402.32487620342141</c:v>
                </c:pt>
              </c:numCache>
            </c:numRef>
          </c:val>
          <c:smooth val="0"/>
          <c:extLst>
            <c:ext xmlns:c16="http://schemas.microsoft.com/office/drawing/2014/chart" uri="{C3380CC4-5D6E-409C-BE32-E72D297353CC}">
              <c16:uniqueId val="{00000002-05C3-4608-BC8E-6A5C3344CDB6}"/>
            </c:ext>
          </c:extLst>
        </c:ser>
        <c:dLbls>
          <c:showLegendKey val="0"/>
          <c:showVal val="0"/>
          <c:showCatName val="0"/>
          <c:showSerName val="0"/>
          <c:showPercent val="0"/>
          <c:showBubbleSize val="0"/>
        </c:dLbls>
        <c:marker val="1"/>
        <c:smooth val="0"/>
        <c:axId val="1575648544"/>
        <c:axId val="1521493440"/>
      </c:lineChart>
      <c:catAx>
        <c:axId val="157564854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Total Output of </a:t>
                </a:r>
                <a:r>
                  <a:rPr lang="en-US" sz="1000" b="0" i="0" u="none" strike="noStrike" baseline="0">
                    <a:effectLst/>
                  </a:rPr>
                  <a:t>LEO </a:t>
                </a:r>
                <a:r>
                  <a:rPr lang="en-US"/>
                  <a:t>Network (Minutes)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1493440"/>
        <c:crosses val="autoZero"/>
        <c:auto val="1"/>
        <c:lblAlgn val="ctr"/>
        <c:lblOffset val="100"/>
        <c:noMultiLvlLbl val="0"/>
      </c:catAx>
      <c:valAx>
        <c:axId val="152149344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Cost (US$)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5648544"/>
        <c:crosses val="autoZero"/>
        <c:crossBetween val="between"/>
      </c:valAx>
      <c:spPr>
        <a:noFill/>
        <a:ln>
          <a:noFill/>
        </a:ln>
        <a:effectLst/>
      </c:spPr>
    </c:plotArea>
    <c:legend>
      <c:legendPos val="b"/>
      <c:legendEntry>
        <c:idx val="2"/>
        <c:delete val="1"/>
      </c:legendEntry>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Cost of Production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1"/>
          <c:order val="1"/>
          <c:tx>
            <c:strRef>
              <c:f>'Costs - SR'!$L$101</c:f>
              <c:strCache>
                <c:ptCount val="1"/>
                <c:pt idx="0">
                  <c:v>Fixed cost ($)</c:v>
                </c:pt>
              </c:strCache>
            </c:strRef>
          </c:tx>
          <c:spPr>
            <a:solidFill>
              <a:schemeClr val="accent2"/>
            </a:solidFill>
            <a:ln>
              <a:noFill/>
            </a:ln>
            <a:effectLst/>
          </c:spPr>
          <c:invertIfNegative val="0"/>
          <c:cat>
            <c:numRef>
              <c:f>'Costs - SR'!$G$103:$G$110</c:f>
              <c:numCache>
                <c:formatCode>_(* #,##0_);_(* \(#,##0\);_(* "-"??_);_(@_)</c:formatCode>
                <c:ptCount val="8"/>
                <c:pt idx="0">
                  <c:v>2102400</c:v>
                </c:pt>
                <c:pt idx="1">
                  <c:v>4204800</c:v>
                </c:pt>
                <c:pt idx="2">
                  <c:v>6307200</c:v>
                </c:pt>
                <c:pt idx="3">
                  <c:v>8409600</c:v>
                </c:pt>
                <c:pt idx="4">
                  <c:v>10512000</c:v>
                </c:pt>
                <c:pt idx="5">
                  <c:v>12614400</c:v>
                </c:pt>
                <c:pt idx="6">
                  <c:v>14716800</c:v>
                </c:pt>
                <c:pt idx="7">
                  <c:v>16819200</c:v>
                </c:pt>
              </c:numCache>
            </c:numRef>
          </c:cat>
          <c:val>
            <c:numRef>
              <c:f>'Costs - SR'!$L$103:$L$110</c:f>
              <c:numCache>
                <c:formatCode>_(* #,##0_);_(* \(#,##0\);_(* "-"??_);_(@_)</c:formatCode>
                <c:ptCount val="8"/>
                <c:pt idx="0">
                  <c:v>1829.7698839576626</c:v>
                </c:pt>
                <c:pt idx="1">
                  <c:v>1829.7698839576626</c:v>
                </c:pt>
                <c:pt idx="2">
                  <c:v>1829.7698839576626</c:v>
                </c:pt>
                <c:pt idx="3">
                  <c:v>1829.7698839576626</c:v>
                </c:pt>
                <c:pt idx="4">
                  <c:v>1829.7698839576626</c:v>
                </c:pt>
                <c:pt idx="5">
                  <c:v>1829.7698839576626</c:v>
                </c:pt>
                <c:pt idx="6">
                  <c:v>1829.7698839576626</c:v>
                </c:pt>
                <c:pt idx="7">
                  <c:v>1829.7698839576626</c:v>
                </c:pt>
              </c:numCache>
            </c:numRef>
          </c:val>
          <c:extLst>
            <c:ext xmlns:c16="http://schemas.microsoft.com/office/drawing/2014/chart" uri="{C3380CC4-5D6E-409C-BE32-E72D297353CC}">
              <c16:uniqueId val="{00000000-3C78-4187-9977-466A20615240}"/>
            </c:ext>
          </c:extLst>
        </c:ser>
        <c:ser>
          <c:idx val="2"/>
          <c:order val="2"/>
          <c:tx>
            <c:strRef>
              <c:f>'Costs - SR'!$M$101</c:f>
              <c:strCache>
                <c:ptCount val="1"/>
                <c:pt idx="0">
                  <c:v>Variable cost ($)</c:v>
                </c:pt>
              </c:strCache>
            </c:strRef>
          </c:tx>
          <c:spPr>
            <a:solidFill>
              <a:schemeClr val="accent3"/>
            </a:solidFill>
            <a:ln>
              <a:noFill/>
            </a:ln>
            <a:effectLst/>
          </c:spPr>
          <c:invertIfNegative val="0"/>
          <c:cat>
            <c:numRef>
              <c:f>'Costs - SR'!$G$103:$G$110</c:f>
              <c:numCache>
                <c:formatCode>_(* #,##0_);_(* \(#,##0\);_(* "-"??_);_(@_)</c:formatCode>
                <c:ptCount val="8"/>
                <c:pt idx="0">
                  <c:v>2102400</c:v>
                </c:pt>
                <c:pt idx="1">
                  <c:v>4204800</c:v>
                </c:pt>
                <c:pt idx="2">
                  <c:v>6307200</c:v>
                </c:pt>
                <c:pt idx="3">
                  <c:v>8409600</c:v>
                </c:pt>
                <c:pt idx="4">
                  <c:v>10512000</c:v>
                </c:pt>
                <c:pt idx="5">
                  <c:v>12614400</c:v>
                </c:pt>
                <c:pt idx="6">
                  <c:v>14716800</c:v>
                </c:pt>
                <c:pt idx="7">
                  <c:v>16819200</c:v>
                </c:pt>
              </c:numCache>
            </c:numRef>
          </c:cat>
          <c:val>
            <c:numRef>
              <c:f>'Costs - SR'!$M$103:$M$110</c:f>
              <c:numCache>
                <c:formatCode>_(* #,##0_);_(* \(#,##0\);_(* "-"??_);_(@_)</c:formatCode>
                <c:ptCount val="8"/>
                <c:pt idx="0">
                  <c:v>0</c:v>
                </c:pt>
                <c:pt idx="1">
                  <c:v>432.34190137232468</c:v>
                </c:pt>
                <c:pt idx="2">
                  <c:v>864.68380274464937</c:v>
                </c:pt>
                <c:pt idx="3">
                  <c:v>1297.0257041169741</c:v>
                </c:pt>
                <c:pt idx="4">
                  <c:v>1729.3676054892987</c:v>
                </c:pt>
                <c:pt idx="5">
                  <c:v>2161.7095068616236</c:v>
                </c:pt>
                <c:pt idx="6">
                  <c:v>2594.0514082339482</c:v>
                </c:pt>
                <c:pt idx="7">
                  <c:v>3026.3933096062729</c:v>
                </c:pt>
              </c:numCache>
            </c:numRef>
          </c:val>
          <c:extLst>
            <c:ext xmlns:c16="http://schemas.microsoft.com/office/drawing/2014/chart" uri="{C3380CC4-5D6E-409C-BE32-E72D297353CC}">
              <c16:uniqueId val="{00000001-3C78-4187-9977-466A20615240}"/>
            </c:ext>
          </c:extLst>
        </c:ser>
        <c:dLbls>
          <c:showLegendKey val="0"/>
          <c:showVal val="0"/>
          <c:showCatName val="0"/>
          <c:showSerName val="0"/>
          <c:showPercent val="0"/>
          <c:showBubbleSize val="0"/>
        </c:dLbls>
        <c:gapWidth val="150"/>
        <c:overlap val="100"/>
        <c:axId val="1575648544"/>
        <c:axId val="1521493440"/>
      </c:barChart>
      <c:lineChart>
        <c:grouping val="standard"/>
        <c:varyColors val="0"/>
        <c:ser>
          <c:idx val="0"/>
          <c:order val="0"/>
          <c:tx>
            <c:strRef>
              <c:f>'Costs - SR'!$K$101</c:f>
              <c:strCache>
                <c:ptCount val="1"/>
                <c:pt idx="0">
                  <c:v>Total cost ($m)</c:v>
                </c:pt>
              </c:strCache>
            </c:strRef>
          </c:tx>
          <c:spPr>
            <a:ln w="28575" cap="rnd">
              <a:noFill/>
              <a:round/>
            </a:ln>
            <a:effectLst/>
          </c:spPr>
          <c:marker>
            <c:symbol val="none"/>
          </c:marker>
          <c:dLbls>
            <c:numFmt formatCode="&quot;$&quot;#,##0" sourceLinked="0"/>
            <c:spPr>
              <a:noFill/>
              <a:ln>
                <a:noFill/>
              </a:ln>
              <a:effectLst/>
            </c:spPr>
            <c:txPr>
              <a:bodyPr rot="-5400000" spcFirstLastPara="1" vertOverflow="ellipsis"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'Costs - SR'!$G$103:$G$110</c:f>
              <c:numCache>
                <c:formatCode>_(* #,##0_);_(* \(#,##0\);_(* "-"??_);_(@_)</c:formatCode>
                <c:ptCount val="8"/>
                <c:pt idx="0">
                  <c:v>2102400</c:v>
                </c:pt>
                <c:pt idx="1">
                  <c:v>4204800</c:v>
                </c:pt>
                <c:pt idx="2">
                  <c:v>6307200</c:v>
                </c:pt>
                <c:pt idx="3">
                  <c:v>8409600</c:v>
                </c:pt>
                <c:pt idx="4">
                  <c:v>10512000</c:v>
                </c:pt>
                <c:pt idx="5">
                  <c:v>12614400</c:v>
                </c:pt>
                <c:pt idx="6">
                  <c:v>14716800</c:v>
                </c:pt>
                <c:pt idx="7">
                  <c:v>16819200</c:v>
                </c:pt>
              </c:numCache>
            </c:numRef>
          </c:cat>
          <c:val>
            <c:numRef>
              <c:f>'Costs - SR'!$K$103:$K$110</c:f>
              <c:numCache>
                <c:formatCode>_(* #,##0_);_(* \(#,##0\);_(* "-"??_);_(@_)</c:formatCode>
                <c:ptCount val="8"/>
                <c:pt idx="0">
                  <c:v>1829.7698839576626</c:v>
                </c:pt>
                <c:pt idx="1">
                  <c:v>2262.1117853299875</c:v>
                </c:pt>
                <c:pt idx="2">
                  <c:v>2694.4536867023121</c:v>
                </c:pt>
                <c:pt idx="3">
                  <c:v>3126.7955880746367</c:v>
                </c:pt>
                <c:pt idx="4">
                  <c:v>3559.1374894469614</c:v>
                </c:pt>
                <c:pt idx="5">
                  <c:v>3991.479390819286</c:v>
                </c:pt>
                <c:pt idx="6">
                  <c:v>4423.8212921916111</c:v>
                </c:pt>
                <c:pt idx="7">
                  <c:v>4856.1631935639352</c:v>
                </c:pt>
              </c:numCache>
            </c:numRef>
          </c:val>
          <c:smooth val="0"/>
          <c:extLst>
            <c:ext xmlns:c16="http://schemas.microsoft.com/office/drawing/2014/chart" uri="{C3380CC4-5D6E-409C-BE32-E72D297353CC}">
              <c16:uniqueId val="{00000002-3C78-4187-9977-466A20615240}"/>
            </c:ext>
          </c:extLst>
        </c:ser>
        <c:dLbls>
          <c:showLegendKey val="0"/>
          <c:showVal val="0"/>
          <c:showCatName val="0"/>
          <c:showSerName val="0"/>
          <c:showPercent val="0"/>
          <c:showBubbleSize val="0"/>
        </c:dLbls>
        <c:marker val="1"/>
        <c:smooth val="0"/>
        <c:axId val="1575648544"/>
        <c:axId val="1521493440"/>
      </c:lineChart>
      <c:catAx>
        <c:axId val="157564854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Total Output of LEO Network (Minutes)</a:t>
                </a:r>
                <a:endParaRPr lang="en-US" sz="400">
                  <a:effectLst/>
                </a:endParaRP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1493440"/>
        <c:crosses val="autoZero"/>
        <c:auto val="1"/>
        <c:lblAlgn val="ctr"/>
        <c:lblOffset val="100"/>
        <c:noMultiLvlLbl val="0"/>
      </c:catAx>
      <c:valAx>
        <c:axId val="152149344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Cost (US$ Mn)</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5648544"/>
        <c:crosses val="autoZero"/>
        <c:crossBetween val="between"/>
      </c:valAx>
      <c:spPr>
        <a:noFill/>
        <a:ln>
          <a:noFill/>
        </a:ln>
        <a:effectLst/>
      </c:spPr>
    </c:plotArea>
    <c:legend>
      <c:legendPos val="b"/>
      <c:legendEntry>
        <c:idx val="2"/>
        <c:delete val="1"/>
      </c:legendEntry>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Total Cost Per Minute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1"/>
          <c:order val="1"/>
          <c:tx>
            <c:strRef>
              <c:f>'Costs - SR'!$O$101</c:f>
              <c:strCache>
                <c:ptCount val="1"/>
                <c:pt idx="0">
                  <c:v>Average fixed cost ($/Min)</c:v>
                </c:pt>
              </c:strCache>
            </c:strRef>
          </c:tx>
          <c:spPr>
            <a:solidFill>
              <a:schemeClr val="accent2"/>
            </a:solidFill>
            <a:ln>
              <a:noFill/>
            </a:ln>
            <a:effectLst/>
          </c:spPr>
          <c:invertIfNegative val="0"/>
          <c:cat>
            <c:numRef>
              <c:f>'Costs - SR'!$G$103:$G$110</c:f>
              <c:numCache>
                <c:formatCode>_(* #,##0_);_(* \(#,##0\);_(* "-"??_);_(@_)</c:formatCode>
                <c:ptCount val="8"/>
                <c:pt idx="0">
                  <c:v>2102400</c:v>
                </c:pt>
                <c:pt idx="1">
                  <c:v>4204800</c:v>
                </c:pt>
                <c:pt idx="2">
                  <c:v>6307200</c:v>
                </c:pt>
                <c:pt idx="3">
                  <c:v>8409600</c:v>
                </c:pt>
                <c:pt idx="4">
                  <c:v>10512000</c:v>
                </c:pt>
                <c:pt idx="5">
                  <c:v>12614400</c:v>
                </c:pt>
                <c:pt idx="6">
                  <c:v>14716800</c:v>
                </c:pt>
                <c:pt idx="7">
                  <c:v>16819200</c:v>
                </c:pt>
              </c:numCache>
            </c:numRef>
          </c:cat>
          <c:val>
            <c:numRef>
              <c:f>'Costs - SR'!$O$103:$O$110</c:f>
              <c:numCache>
                <c:formatCode>_(* #,##0_);_(* \(#,##0\);_(* "-"??_);_(@_)</c:formatCode>
                <c:ptCount val="8"/>
                <c:pt idx="0">
                  <c:v>870.32433597681825</c:v>
                </c:pt>
                <c:pt idx="1">
                  <c:v>435.16216798840912</c:v>
                </c:pt>
                <c:pt idx="2">
                  <c:v>290.10811199227271</c:v>
                </c:pt>
                <c:pt idx="3">
                  <c:v>217.58108399420456</c:v>
                </c:pt>
                <c:pt idx="4">
                  <c:v>174.06486719536366</c:v>
                </c:pt>
                <c:pt idx="5">
                  <c:v>145.05405599613636</c:v>
                </c:pt>
                <c:pt idx="6">
                  <c:v>124.3320479966883</c:v>
                </c:pt>
                <c:pt idx="7">
                  <c:v>108.79054199710228</c:v>
                </c:pt>
              </c:numCache>
            </c:numRef>
          </c:val>
          <c:extLst>
            <c:ext xmlns:c16="http://schemas.microsoft.com/office/drawing/2014/chart" uri="{C3380CC4-5D6E-409C-BE32-E72D297353CC}">
              <c16:uniqueId val="{00000000-D75B-4D0A-868A-638DD9E5B3F5}"/>
            </c:ext>
          </c:extLst>
        </c:ser>
        <c:ser>
          <c:idx val="2"/>
          <c:order val="2"/>
          <c:tx>
            <c:strRef>
              <c:f>'Costs - SR'!$P$101</c:f>
              <c:strCache>
                <c:ptCount val="1"/>
                <c:pt idx="0">
                  <c:v>Average variable cost ($/Min)</c:v>
                </c:pt>
              </c:strCache>
            </c:strRef>
          </c:tx>
          <c:spPr>
            <a:solidFill>
              <a:schemeClr val="accent3"/>
            </a:solidFill>
            <a:ln>
              <a:noFill/>
            </a:ln>
            <a:effectLst/>
          </c:spPr>
          <c:invertIfNegative val="0"/>
          <c:cat>
            <c:numRef>
              <c:f>'Costs - SR'!$G$103:$G$110</c:f>
              <c:numCache>
                <c:formatCode>_(* #,##0_);_(* \(#,##0\);_(* "-"??_);_(@_)</c:formatCode>
                <c:ptCount val="8"/>
                <c:pt idx="0">
                  <c:v>2102400</c:v>
                </c:pt>
                <c:pt idx="1">
                  <c:v>4204800</c:v>
                </c:pt>
                <c:pt idx="2">
                  <c:v>6307200</c:v>
                </c:pt>
                <c:pt idx="3">
                  <c:v>8409600</c:v>
                </c:pt>
                <c:pt idx="4">
                  <c:v>10512000</c:v>
                </c:pt>
                <c:pt idx="5">
                  <c:v>12614400</c:v>
                </c:pt>
                <c:pt idx="6">
                  <c:v>14716800</c:v>
                </c:pt>
                <c:pt idx="7">
                  <c:v>16819200</c:v>
                </c:pt>
              </c:numCache>
            </c:numRef>
          </c:cat>
          <c:val>
            <c:numRef>
              <c:f>'Costs - SR'!$P$103:$P$110</c:f>
              <c:numCache>
                <c:formatCode>0</c:formatCode>
                <c:ptCount val="8"/>
                <c:pt idx="0">
                  <c:v>0</c:v>
                </c:pt>
                <c:pt idx="1">
                  <c:v>102.8210381878626</c:v>
                </c:pt>
                <c:pt idx="2">
                  <c:v>137.09471758381682</c:v>
                </c:pt>
                <c:pt idx="3">
                  <c:v>154.2315572817939</c:v>
                </c:pt>
                <c:pt idx="4">
                  <c:v>164.51366110058018</c:v>
                </c:pt>
                <c:pt idx="5">
                  <c:v>171.36839697977103</c:v>
                </c:pt>
                <c:pt idx="6">
                  <c:v>176.26463689347878</c:v>
                </c:pt>
                <c:pt idx="7">
                  <c:v>179.93681682875956</c:v>
                </c:pt>
              </c:numCache>
            </c:numRef>
          </c:val>
          <c:extLst>
            <c:ext xmlns:c16="http://schemas.microsoft.com/office/drawing/2014/chart" uri="{C3380CC4-5D6E-409C-BE32-E72D297353CC}">
              <c16:uniqueId val="{00000001-D75B-4D0A-868A-638DD9E5B3F5}"/>
            </c:ext>
          </c:extLst>
        </c:ser>
        <c:dLbls>
          <c:showLegendKey val="0"/>
          <c:showVal val="0"/>
          <c:showCatName val="0"/>
          <c:showSerName val="0"/>
          <c:showPercent val="0"/>
          <c:showBubbleSize val="0"/>
        </c:dLbls>
        <c:gapWidth val="150"/>
        <c:overlap val="100"/>
        <c:axId val="1575648544"/>
        <c:axId val="1521493440"/>
      </c:barChart>
      <c:lineChart>
        <c:grouping val="standard"/>
        <c:varyColors val="0"/>
        <c:ser>
          <c:idx val="0"/>
          <c:order val="0"/>
          <c:tx>
            <c:strRef>
              <c:f>'Costs - SR'!$N$101</c:f>
              <c:strCache>
                <c:ptCount val="1"/>
                <c:pt idx="0">
                  <c:v>Average total cost ($/Min)</c:v>
                </c:pt>
              </c:strCache>
            </c:strRef>
          </c:tx>
          <c:spPr>
            <a:ln w="28575" cap="rnd">
              <a:noFill/>
              <a:round/>
            </a:ln>
            <a:effectLst/>
          </c:spPr>
          <c:marker>
            <c:symbol val="none"/>
          </c:marker>
          <c:dLbls>
            <c:numFmt formatCode="&quot;$&quot;#,##0" sourceLinked="0"/>
            <c:spPr>
              <a:noFill/>
              <a:ln>
                <a:noFill/>
              </a:ln>
              <a:effectLst/>
            </c:spPr>
            <c:txPr>
              <a:bodyPr rot="-5400000" spcFirstLastPara="1" vertOverflow="ellipsis"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'Costs - SR'!$N$103:$N$110</c:f>
              <c:numCache>
                <c:formatCode>_(* #,##0_);_(* \(#,##0\);_(* "-"??_);_(@_)</c:formatCode>
                <c:ptCount val="8"/>
                <c:pt idx="0">
                  <c:v>870.32433597681825</c:v>
                </c:pt>
                <c:pt idx="1">
                  <c:v>537.98320617627178</c:v>
                </c:pt>
                <c:pt idx="2">
                  <c:v>427.20282957608953</c:v>
                </c:pt>
                <c:pt idx="3">
                  <c:v>371.81264127599843</c:v>
                </c:pt>
                <c:pt idx="4">
                  <c:v>338.57852829594384</c:v>
                </c:pt>
                <c:pt idx="5">
                  <c:v>316.42245297590739</c:v>
                </c:pt>
                <c:pt idx="6">
                  <c:v>300.59668489016707</c:v>
                </c:pt>
                <c:pt idx="7">
                  <c:v>288.72735882586187</c:v>
                </c:pt>
              </c:numCache>
            </c:numRef>
          </c:val>
          <c:smooth val="0"/>
          <c:extLst>
            <c:ext xmlns:c16="http://schemas.microsoft.com/office/drawing/2014/chart" uri="{C3380CC4-5D6E-409C-BE32-E72D297353CC}">
              <c16:uniqueId val="{00000002-D75B-4D0A-868A-638DD9E5B3F5}"/>
            </c:ext>
          </c:extLst>
        </c:ser>
        <c:dLbls>
          <c:showLegendKey val="0"/>
          <c:showVal val="0"/>
          <c:showCatName val="0"/>
          <c:showSerName val="0"/>
          <c:showPercent val="0"/>
          <c:showBubbleSize val="0"/>
        </c:dLbls>
        <c:marker val="1"/>
        <c:smooth val="0"/>
        <c:axId val="1575648544"/>
        <c:axId val="1521493440"/>
      </c:lineChart>
      <c:catAx>
        <c:axId val="157564854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Total Output of </a:t>
                </a:r>
                <a:r>
                  <a:rPr lang="en-US" sz="1000" b="0" i="0" u="none" strike="noStrike" baseline="0">
                    <a:effectLst/>
                  </a:rPr>
                  <a:t>LEO </a:t>
                </a:r>
                <a:r>
                  <a:rPr lang="en-US"/>
                  <a:t>Network (Minutes)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1493440"/>
        <c:crosses val="autoZero"/>
        <c:auto val="1"/>
        <c:lblAlgn val="ctr"/>
        <c:lblOffset val="100"/>
        <c:noMultiLvlLbl val="0"/>
      </c:catAx>
      <c:valAx>
        <c:axId val="152149344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Cost (US$)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5648544"/>
        <c:crosses val="autoZero"/>
        <c:crossBetween val="between"/>
      </c:valAx>
      <c:spPr>
        <a:noFill/>
        <a:ln>
          <a:noFill/>
        </a:ln>
        <a:effectLst/>
      </c:spPr>
    </c:plotArea>
    <c:legend>
      <c:legendPos val="b"/>
      <c:legendEntry>
        <c:idx val="2"/>
        <c:delete val="1"/>
      </c:legendEntry>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GEO costs based on the quantity of minutes</a:t>
            </a:r>
            <a:r>
              <a:rPr lang="en-US" baseline="0"/>
              <a:t> produced</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'Costs - DTE'!$N$102</c:f>
              <c:strCache>
                <c:ptCount val="1"/>
              </c:strCache>
            </c:strRef>
          </c:tx>
          <c:spPr>
            <a:ln w="28575" cap="rnd">
              <a:solidFill>
                <a:schemeClr val="accent1"/>
              </a:solidFill>
              <a:round/>
            </a:ln>
            <a:effectLst/>
          </c:spPr>
          <c:marker>
            <c:symbol val="none"/>
          </c:marker>
          <c:cat>
            <c:numRef>
              <c:f>'Costs - DTE'!$G$103:$G$110</c:f>
              <c:numCache>
                <c:formatCode>General</c:formatCode>
                <c:ptCount val="8"/>
              </c:numCache>
            </c:numRef>
          </c:cat>
          <c:val>
            <c:numRef>
              <c:f>'Costs - DTE'!$N$103:$N$110</c:f>
              <c:numCache>
                <c:formatCode>General</c:formatCode>
                <c:ptCount val="8"/>
              </c:numCache>
            </c:numRef>
          </c:val>
          <c:smooth val="0"/>
          <c:extLst>
            <c:ext xmlns:c16="http://schemas.microsoft.com/office/drawing/2014/chart" uri="{C3380CC4-5D6E-409C-BE32-E72D297353CC}">
              <c16:uniqueId val="{00000000-0AB1-40DA-AAC6-D0CA6DD07691}"/>
            </c:ext>
          </c:extLst>
        </c:ser>
        <c:ser>
          <c:idx val="1"/>
          <c:order val="1"/>
          <c:tx>
            <c:strRef>
              <c:f>'Costs - DTE'!$O$102</c:f>
              <c:strCache>
                <c:ptCount val="1"/>
              </c:strCache>
            </c:strRef>
          </c:tx>
          <c:spPr>
            <a:ln w="28575" cap="rnd">
              <a:solidFill>
                <a:schemeClr val="accent2"/>
              </a:solidFill>
              <a:round/>
            </a:ln>
            <a:effectLst/>
          </c:spPr>
          <c:marker>
            <c:symbol val="none"/>
          </c:marker>
          <c:cat>
            <c:numRef>
              <c:f>'Costs - DTE'!$G$103:$G$110</c:f>
              <c:numCache>
                <c:formatCode>General</c:formatCode>
                <c:ptCount val="8"/>
              </c:numCache>
            </c:numRef>
          </c:cat>
          <c:val>
            <c:numRef>
              <c:f>'Costs - DTE'!$O$103:$O$110</c:f>
              <c:numCache>
                <c:formatCode>General</c:formatCode>
                <c:ptCount val="8"/>
              </c:numCache>
            </c:numRef>
          </c:val>
          <c:smooth val="0"/>
          <c:extLst>
            <c:ext xmlns:c16="http://schemas.microsoft.com/office/drawing/2014/chart" uri="{C3380CC4-5D6E-409C-BE32-E72D297353CC}">
              <c16:uniqueId val="{00000001-0AB1-40DA-AAC6-D0CA6DD07691}"/>
            </c:ext>
          </c:extLst>
        </c:ser>
        <c:ser>
          <c:idx val="2"/>
          <c:order val="2"/>
          <c:tx>
            <c:strRef>
              <c:f>'Costs - DTE'!$P$102</c:f>
              <c:strCache>
                <c:ptCount val="1"/>
              </c:strCache>
            </c:strRef>
          </c:tx>
          <c:spPr>
            <a:ln w="28575" cap="rnd">
              <a:solidFill>
                <a:schemeClr val="accent3"/>
              </a:solidFill>
              <a:round/>
            </a:ln>
            <a:effectLst/>
          </c:spPr>
          <c:marker>
            <c:symbol val="none"/>
          </c:marker>
          <c:cat>
            <c:numRef>
              <c:f>'Costs - DTE'!$G$103:$G$110</c:f>
              <c:numCache>
                <c:formatCode>General</c:formatCode>
                <c:ptCount val="8"/>
              </c:numCache>
            </c:numRef>
          </c:cat>
          <c:val>
            <c:numRef>
              <c:f>'Costs - DTE'!$P$103:$P$110</c:f>
              <c:numCache>
                <c:formatCode>General</c:formatCode>
                <c:ptCount val="8"/>
              </c:numCache>
            </c:numRef>
          </c:val>
          <c:smooth val="0"/>
          <c:extLst>
            <c:ext xmlns:c16="http://schemas.microsoft.com/office/drawing/2014/chart" uri="{C3380CC4-5D6E-409C-BE32-E72D297353CC}">
              <c16:uniqueId val="{00000002-0AB1-40DA-AAC6-D0CA6DD07691}"/>
            </c:ext>
          </c:extLst>
        </c:ser>
        <c:dLbls>
          <c:showLegendKey val="0"/>
          <c:showVal val="0"/>
          <c:showCatName val="0"/>
          <c:showSerName val="0"/>
          <c:showPercent val="0"/>
          <c:showBubbleSize val="0"/>
        </c:dLbls>
        <c:smooth val="0"/>
        <c:axId val="801753216"/>
        <c:axId val="801755296"/>
      </c:lineChart>
      <c:catAx>
        <c:axId val="80175321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Minutes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1755296"/>
        <c:crosses val="autoZero"/>
        <c:auto val="1"/>
        <c:lblAlgn val="ctr"/>
        <c:lblOffset val="100"/>
        <c:noMultiLvlLbl val="0"/>
      </c:catAx>
      <c:valAx>
        <c:axId val="80175529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S/Min</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175321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Cost of Production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1"/>
          <c:order val="1"/>
          <c:tx>
            <c:strRef>
              <c:f>'Costs - DTE'!$I$30</c:f>
              <c:strCache>
                <c:ptCount val="1"/>
                <c:pt idx="0">
                  <c:v>Fixed cost ($m)</c:v>
                </c:pt>
              </c:strCache>
            </c:strRef>
          </c:tx>
          <c:spPr>
            <a:solidFill>
              <a:schemeClr val="accent2"/>
            </a:solidFill>
            <a:ln>
              <a:noFill/>
            </a:ln>
            <a:effectLst/>
          </c:spPr>
          <c:invertIfNegative val="0"/>
          <c:cat>
            <c:numRef>
              <c:f>'Costs - DTE'!$F$32:$F$41</c:f>
              <c:numCache>
                <c:formatCode>_(* #,##0_);_(* \(#,##0\);_(* "-"??_);_(@_)</c:formatCode>
                <c:ptCount val="10"/>
                <c:pt idx="0">
                  <c:v>525600</c:v>
                </c:pt>
                <c:pt idx="1">
                  <c:v>1051200</c:v>
                </c:pt>
                <c:pt idx="2">
                  <c:v>1576800</c:v>
                </c:pt>
                <c:pt idx="3">
                  <c:v>2102400</c:v>
                </c:pt>
                <c:pt idx="4">
                  <c:v>2628000</c:v>
                </c:pt>
                <c:pt idx="5">
                  <c:v>3153600</c:v>
                </c:pt>
                <c:pt idx="6">
                  <c:v>3679200</c:v>
                </c:pt>
                <c:pt idx="7">
                  <c:v>4204800</c:v>
                </c:pt>
                <c:pt idx="8">
                  <c:v>4730400</c:v>
                </c:pt>
                <c:pt idx="9">
                  <c:v>5256000</c:v>
                </c:pt>
              </c:numCache>
            </c:numRef>
          </c:cat>
          <c:val>
            <c:numRef>
              <c:f>'Costs - DTE'!$I$32:$I$41</c:f>
              <c:numCache>
                <c:formatCode>_(* #,##0_);_(* \(#,##0\);_(* "-"??_);_(@_)</c:formatCode>
                <c:ptCount val="10"/>
                <c:pt idx="0">
                  <c:v>87.872908210581301</c:v>
                </c:pt>
                <c:pt idx="1">
                  <c:v>87.872908210581301</c:v>
                </c:pt>
                <c:pt idx="2">
                  <c:v>87.872908210581301</c:v>
                </c:pt>
                <c:pt idx="3">
                  <c:v>87.872908210581301</c:v>
                </c:pt>
                <c:pt idx="4">
                  <c:v>87.872908210581301</c:v>
                </c:pt>
                <c:pt idx="5">
                  <c:v>87.872908210581301</c:v>
                </c:pt>
                <c:pt idx="6">
                  <c:v>87.872908210581301</c:v>
                </c:pt>
                <c:pt idx="7">
                  <c:v>87.872908210581301</c:v>
                </c:pt>
                <c:pt idx="8">
                  <c:v>87.872908210581301</c:v>
                </c:pt>
                <c:pt idx="9">
                  <c:v>87.872908210581301</c:v>
                </c:pt>
              </c:numCache>
            </c:numRef>
          </c:val>
          <c:extLst>
            <c:ext xmlns:c16="http://schemas.microsoft.com/office/drawing/2014/chart" uri="{C3380CC4-5D6E-409C-BE32-E72D297353CC}">
              <c16:uniqueId val="{00000000-18AC-4CAF-93F4-01F6C7B9BA1E}"/>
            </c:ext>
          </c:extLst>
        </c:ser>
        <c:ser>
          <c:idx val="2"/>
          <c:order val="2"/>
          <c:tx>
            <c:strRef>
              <c:f>'Costs - DTE'!$J$30</c:f>
              <c:strCache>
                <c:ptCount val="1"/>
                <c:pt idx="0">
                  <c:v>Variable cost ($m)</c:v>
                </c:pt>
              </c:strCache>
            </c:strRef>
          </c:tx>
          <c:spPr>
            <a:solidFill>
              <a:schemeClr val="accent3"/>
            </a:solidFill>
            <a:ln>
              <a:noFill/>
            </a:ln>
            <a:effectLst/>
          </c:spPr>
          <c:invertIfNegative val="0"/>
          <c:cat>
            <c:numRef>
              <c:f>'Costs - DTE'!$F$32:$F$41</c:f>
              <c:numCache>
                <c:formatCode>_(* #,##0_);_(* \(#,##0\);_(* "-"??_);_(@_)</c:formatCode>
                <c:ptCount val="10"/>
                <c:pt idx="0">
                  <c:v>525600</c:v>
                </c:pt>
                <c:pt idx="1">
                  <c:v>1051200</c:v>
                </c:pt>
                <c:pt idx="2">
                  <c:v>1576800</c:v>
                </c:pt>
                <c:pt idx="3">
                  <c:v>2102400</c:v>
                </c:pt>
                <c:pt idx="4">
                  <c:v>2628000</c:v>
                </c:pt>
                <c:pt idx="5">
                  <c:v>3153600</c:v>
                </c:pt>
                <c:pt idx="6">
                  <c:v>3679200</c:v>
                </c:pt>
                <c:pt idx="7">
                  <c:v>4204800</c:v>
                </c:pt>
                <c:pt idx="8">
                  <c:v>4730400</c:v>
                </c:pt>
                <c:pt idx="9">
                  <c:v>5256000</c:v>
                </c:pt>
              </c:numCache>
            </c:numRef>
          </c:cat>
          <c:val>
            <c:numRef>
              <c:f>'Costs - DTE'!$J$32:$J$41</c:f>
              <c:numCache>
                <c:formatCode>_(* #,##0_);_(* \(#,##0\);_(* "-"??_);_(@_)</c:formatCode>
                <c:ptCount val="10"/>
                <c:pt idx="0" formatCode="General">
                  <c:v>0</c:v>
                </c:pt>
                <c:pt idx="1">
                  <c:v>55.091499953356404</c:v>
                </c:pt>
                <c:pt idx="2">
                  <c:v>110.18299990671281</c:v>
                </c:pt>
                <c:pt idx="3">
                  <c:v>165.27449986006923</c:v>
                </c:pt>
                <c:pt idx="4">
                  <c:v>220.36599981342562</c:v>
                </c:pt>
                <c:pt idx="5">
                  <c:v>275.45749976678201</c:v>
                </c:pt>
                <c:pt idx="6">
                  <c:v>330.5489997201384</c:v>
                </c:pt>
                <c:pt idx="7">
                  <c:v>385.64049967349479</c:v>
                </c:pt>
                <c:pt idx="8">
                  <c:v>440.73199962685118</c:v>
                </c:pt>
                <c:pt idx="9">
                  <c:v>495.82349958020757</c:v>
                </c:pt>
              </c:numCache>
            </c:numRef>
          </c:val>
          <c:extLst>
            <c:ext xmlns:c16="http://schemas.microsoft.com/office/drawing/2014/chart" uri="{C3380CC4-5D6E-409C-BE32-E72D297353CC}">
              <c16:uniqueId val="{00000001-18AC-4CAF-93F4-01F6C7B9BA1E}"/>
            </c:ext>
          </c:extLst>
        </c:ser>
        <c:dLbls>
          <c:showLegendKey val="0"/>
          <c:showVal val="0"/>
          <c:showCatName val="0"/>
          <c:showSerName val="0"/>
          <c:showPercent val="0"/>
          <c:showBubbleSize val="0"/>
        </c:dLbls>
        <c:gapWidth val="150"/>
        <c:overlap val="100"/>
        <c:axId val="1575648544"/>
        <c:axId val="1521493440"/>
      </c:barChart>
      <c:lineChart>
        <c:grouping val="standard"/>
        <c:varyColors val="0"/>
        <c:ser>
          <c:idx val="0"/>
          <c:order val="0"/>
          <c:tx>
            <c:strRef>
              <c:f>'Costs - DTE'!$H$30</c:f>
              <c:strCache>
                <c:ptCount val="1"/>
                <c:pt idx="0">
                  <c:v>Total cost ($m)</c:v>
                </c:pt>
              </c:strCache>
            </c:strRef>
          </c:tx>
          <c:spPr>
            <a:ln w="28575" cap="rnd">
              <a:noFill/>
              <a:round/>
            </a:ln>
            <a:effectLst/>
          </c:spPr>
          <c:marker>
            <c:symbol val="none"/>
          </c:marker>
          <c:dLbls>
            <c:numFmt formatCode="&quot;$&quot;#,##0" sourceLinked="0"/>
            <c:spPr>
              <a:noFill/>
              <a:ln>
                <a:noFill/>
              </a:ln>
              <a:effectLst/>
            </c:spPr>
            <c:txPr>
              <a:bodyPr rot="-5400000" spcFirstLastPara="1" vertOverflow="ellipsis"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'Costs - DTE'!$H$32:$H$41</c:f>
              <c:numCache>
                <c:formatCode>_(* #,##0_);_(* \(#,##0\);_(* "-"??_);_(@_)</c:formatCode>
                <c:ptCount val="10"/>
                <c:pt idx="0">
                  <c:v>87.872908210581301</c:v>
                </c:pt>
                <c:pt idx="1">
                  <c:v>142.96440816393772</c:v>
                </c:pt>
                <c:pt idx="2">
                  <c:v>198.05590811729411</c:v>
                </c:pt>
                <c:pt idx="3">
                  <c:v>253.14740807065053</c:v>
                </c:pt>
                <c:pt idx="4">
                  <c:v>308.23890802400695</c:v>
                </c:pt>
                <c:pt idx="5">
                  <c:v>363.33040797736328</c:v>
                </c:pt>
                <c:pt idx="6">
                  <c:v>418.42190793071973</c:v>
                </c:pt>
                <c:pt idx="7">
                  <c:v>473.51340788407606</c:v>
                </c:pt>
                <c:pt idx="8">
                  <c:v>528.60490783743251</c:v>
                </c:pt>
                <c:pt idx="9">
                  <c:v>583.69640779078884</c:v>
                </c:pt>
              </c:numCache>
            </c:numRef>
          </c:val>
          <c:smooth val="0"/>
          <c:extLst>
            <c:ext xmlns:c16="http://schemas.microsoft.com/office/drawing/2014/chart" uri="{C3380CC4-5D6E-409C-BE32-E72D297353CC}">
              <c16:uniqueId val="{00000002-18AC-4CAF-93F4-01F6C7B9BA1E}"/>
            </c:ext>
          </c:extLst>
        </c:ser>
        <c:dLbls>
          <c:showLegendKey val="0"/>
          <c:showVal val="0"/>
          <c:showCatName val="0"/>
          <c:showSerName val="0"/>
          <c:showPercent val="0"/>
          <c:showBubbleSize val="0"/>
        </c:dLbls>
        <c:marker val="1"/>
        <c:smooth val="0"/>
        <c:axId val="1575648544"/>
        <c:axId val="1521493440"/>
      </c:lineChart>
      <c:catAx>
        <c:axId val="157564854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Total Output of DTE Ground Station (Minutes)</a:t>
                </a:r>
                <a:endParaRPr lang="en-US" sz="400">
                  <a:effectLst/>
                </a:endParaRP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1493440"/>
        <c:crosses val="autoZero"/>
        <c:auto val="1"/>
        <c:lblAlgn val="ctr"/>
        <c:lblOffset val="100"/>
        <c:noMultiLvlLbl val="0"/>
      </c:catAx>
      <c:valAx>
        <c:axId val="152149344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Cost (US$ Mn)</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5648544"/>
        <c:crosses val="autoZero"/>
        <c:crossBetween val="between"/>
      </c:valAx>
      <c:spPr>
        <a:noFill/>
        <a:ln>
          <a:noFill/>
        </a:ln>
        <a:effectLst/>
      </c:spPr>
    </c:plotArea>
    <c:legend>
      <c:legendPos val="b"/>
      <c:legendEntry>
        <c:idx val="2"/>
        <c:delete val="1"/>
      </c:legendEntry>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Total Cost Per Minute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1"/>
          <c:order val="1"/>
          <c:tx>
            <c:strRef>
              <c:f>'Costs - DTE'!$L$30</c:f>
              <c:strCache>
                <c:ptCount val="1"/>
                <c:pt idx="0">
                  <c:v>Average fixed cost (US$/Min)</c:v>
                </c:pt>
              </c:strCache>
            </c:strRef>
          </c:tx>
          <c:spPr>
            <a:solidFill>
              <a:schemeClr val="accent2"/>
            </a:solidFill>
            <a:ln>
              <a:noFill/>
            </a:ln>
            <a:effectLst/>
          </c:spPr>
          <c:invertIfNegative val="0"/>
          <c:cat>
            <c:numRef>
              <c:f>'Costs - DTE'!$F$32:$F$41</c:f>
              <c:numCache>
                <c:formatCode>_(* #,##0_);_(* \(#,##0\);_(* "-"??_);_(@_)</c:formatCode>
                <c:ptCount val="10"/>
                <c:pt idx="0">
                  <c:v>525600</c:v>
                </c:pt>
                <c:pt idx="1">
                  <c:v>1051200</c:v>
                </c:pt>
                <c:pt idx="2">
                  <c:v>1576800</c:v>
                </c:pt>
                <c:pt idx="3">
                  <c:v>2102400</c:v>
                </c:pt>
                <c:pt idx="4">
                  <c:v>2628000</c:v>
                </c:pt>
                <c:pt idx="5">
                  <c:v>3153600</c:v>
                </c:pt>
                <c:pt idx="6">
                  <c:v>3679200</c:v>
                </c:pt>
                <c:pt idx="7">
                  <c:v>4204800</c:v>
                </c:pt>
                <c:pt idx="8">
                  <c:v>4730400</c:v>
                </c:pt>
                <c:pt idx="9">
                  <c:v>5256000</c:v>
                </c:pt>
              </c:numCache>
            </c:numRef>
          </c:cat>
          <c:val>
            <c:numRef>
              <c:f>'Costs - DTE'!$L$32:$L$41</c:f>
              <c:numCache>
                <c:formatCode>_(* #,##0_);_(* \(#,##0\);_(* "-"??_);_(@_)</c:formatCode>
                <c:ptCount val="10"/>
                <c:pt idx="0">
                  <c:v>167.18589842195834</c:v>
                </c:pt>
                <c:pt idx="1">
                  <c:v>83.592949210979171</c:v>
                </c:pt>
                <c:pt idx="2">
                  <c:v>55.728632807319443</c:v>
                </c:pt>
                <c:pt idx="3">
                  <c:v>41.796474605489585</c:v>
                </c:pt>
                <c:pt idx="4">
                  <c:v>33.437179684391666</c:v>
                </c:pt>
                <c:pt idx="5">
                  <c:v>27.864316403659721</c:v>
                </c:pt>
                <c:pt idx="6">
                  <c:v>23.883699774565478</c:v>
                </c:pt>
                <c:pt idx="7">
                  <c:v>20.898237302744793</c:v>
                </c:pt>
                <c:pt idx="8">
                  <c:v>18.576210935773148</c:v>
                </c:pt>
                <c:pt idx="9">
                  <c:v>16.718589842195833</c:v>
                </c:pt>
              </c:numCache>
            </c:numRef>
          </c:val>
          <c:extLst>
            <c:ext xmlns:c16="http://schemas.microsoft.com/office/drawing/2014/chart" uri="{C3380CC4-5D6E-409C-BE32-E72D297353CC}">
              <c16:uniqueId val="{00000000-3DBC-4FD2-BBBD-4A01AF5DEE60}"/>
            </c:ext>
          </c:extLst>
        </c:ser>
        <c:ser>
          <c:idx val="2"/>
          <c:order val="2"/>
          <c:tx>
            <c:strRef>
              <c:f>'Costs - DTE'!$M$30</c:f>
              <c:strCache>
                <c:ptCount val="1"/>
                <c:pt idx="0">
                  <c:v>Average variable cost (US$/Min)</c:v>
                </c:pt>
              </c:strCache>
            </c:strRef>
          </c:tx>
          <c:spPr>
            <a:solidFill>
              <a:schemeClr val="accent3"/>
            </a:solidFill>
            <a:ln>
              <a:noFill/>
            </a:ln>
            <a:effectLst/>
          </c:spPr>
          <c:invertIfNegative val="0"/>
          <c:cat>
            <c:numRef>
              <c:f>'Costs - DTE'!$F$32:$F$41</c:f>
              <c:numCache>
                <c:formatCode>_(* #,##0_);_(* \(#,##0\);_(* "-"??_);_(@_)</c:formatCode>
                <c:ptCount val="10"/>
                <c:pt idx="0">
                  <c:v>525600</c:v>
                </c:pt>
                <c:pt idx="1">
                  <c:v>1051200</c:v>
                </c:pt>
                <c:pt idx="2">
                  <c:v>1576800</c:v>
                </c:pt>
                <c:pt idx="3">
                  <c:v>2102400</c:v>
                </c:pt>
                <c:pt idx="4">
                  <c:v>2628000</c:v>
                </c:pt>
                <c:pt idx="5">
                  <c:v>3153600</c:v>
                </c:pt>
                <c:pt idx="6">
                  <c:v>3679200</c:v>
                </c:pt>
                <c:pt idx="7">
                  <c:v>4204800</c:v>
                </c:pt>
                <c:pt idx="8">
                  <c:v>4730400</c:v>
                </c:pt>
                <c:pt idx="9">
                  <c:v>5256000</c:v>
                </c:pt>
              </c:numCache>
            </c:numRef>
          </c:cat>
          <c:val>
            <c:numRef>
              <c:f>'Costs - DTE'!$M$32:$M$41</c:f>
              <c:numCache>
                <c:formatCode>_(* #,##0_);_(* \(#,##0\);_(* "-"??_);_(@_)</c:formatCode>
                <c:ptCount val="10"/>
                <c:pt idx="0">
                  <c:v>0</c:v>
                </c:pt>
                <c:pt idx="1">
                  <c:v>52.408200107835242</c:v>
                </c:pt>
                <c:pt idx="2">
                  <c:v>69.877600143780313</c:v>
                </c:pt>
                <c:pt idx="3">
                  <c:v>78.612300161752856</c:v>
                </c:pt>
                <c:pt idx="4">
                  <c:v>83.853120172536393</c:v>
                </c:pt>
                <c:pt idx="5">
                  <c:v>87.347000179725384</c:v>
                </c:pt>
                <c:pt idx="6">
                  <c:v>89.842628756288974</c:v>
                </c:pt>
                <c:pt idx="7">
                  <c:v>91.714350188711663</c:v>
                </c:pt>
                <c:pt idx="8">
                  <c:v>93.170133525040427</c:v>
                </c:pt>
                <c:pt idx="9">
                  <c:v>94.334760194103424</c:v>
                </c:pt>
              </c:numCache>
            </c:numRef>
          </c:val>
          <c:extLst>
            <c:ext xmlns:c16="http://schemas.microsoft.com/office/drawing/2014/chart" uri="{C3380CC4-5D6E-409C-BE32-E72D297353CC}">
              <c16:uniqueId val="{00000001-3DBC-4FD2-BBBD-4A01AF5DEE60}"/>
            </c:ext>
          </c:extLst>
        </c:ser>
        <c:dLbls>
          <c:showLegendKey val="0"/>
          <c:showVal val="0"/>
          <c:showCatName val="0"/>
          <c:showSerName val="0"/>
          <c:showPercent val="0"/>
          <c:showBubbleSize val="0"/>
        </c:dLbls>
        <c:gapWidth val="150"/>
        <c:overlap val="100"/>
        <c:axId val="1575648544"/>
        <c:axId val="1521493440"/>
      </c:barChart>
      <c:lineChart>
        <c:grouping val="standard"/>
        <c:varyColors val="0"/>
        <c:ser>
          <c:idx val="0"/>
          <c:order val="0"/>
          <c:tx>
            <c:strRef>
              <c:f>'Costs - DTE'!$K$30</c:f>
              <c:strCache>
                <c:ptCount val="1"/>
                <c:pt idx="0">
                  <c:v>Average total cost ($/Min)</c:v>
                </c:pt>
              </c:strCache>
            </c:strRef>
          </c:tx>
          <c:spPr>
            <a:ln w="28575" cap="rnd">
              <a:noFill/>
              <a:round/>
            </a:ln>
            <a:effectLst/>
          </c:spPr>
          <c:marker>
            <c:symbol val="none"/>
          </c:marker>
          <c:dLbls>
            <c:numFmt formatCode="&quot;$&quot;#,##0" sourceLinked="0"/>
            <c:spPr>
              <a:noFill/>
              <a:ln>
                <a:noFill/>
              </a:ln>
              <a:effectLst/>
            </c:spPr>
            <c:txPr>
              <a:bodyPr rot="-5400000" spcFirstLastPara="1" vertOverflow="ellipsis"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'Costs - DTE'!$K$32:$K$41</c:f>
              <c:numCache>
                <c:formatCode>_(* #,##0_);_(* \(#,##0\);_(* "-"??_);_(@_)</c:formatCode>
                <c:ptCount val="10"/>
                <c:pt idx="0">
                  <c:v>167.18589842195834</c:v>
                </c:pt>
                <c:pt idx="1">
                  <c:v>136.00114931881441</c:v>
                </c:pt>
                <c:pt idx="2">
                  <c:v>125.60623295109976</c:v>
                </c:pt>
                <c:pt idx="3">
                  <c:v>120.40877476724245</c:v>
                </c:pt>
                <c:pt idx="4">
                  <c:v>117.29029985692806</c:v>
                </c:pt>
                <c:pt idx="5">
                  <c:v>115.2113165833851</c:v>
                </c:pt>
                <c:pt idx="6">
                  <c:v>113.72632853085446</c:v>
                </c:pt>
                <c:pt idx="7">
                  <c:v>112.61258749145645</c:v>
                </c:pt>
                <c:pt idx="8">
                  <c:v>111.74634446081357</c:v>
                </c:pt>
                <c:pt idx="9">
                  <c:v>111.05335003629926</c:v>
                </c:pt>
              </c:numCache>
            </c:numRef>
          </c:val>
          <c:smooth val="0"/>
          <c:extLst>
            <c:ext xmlns:c16="http://schemas.microsoft.com/office/drawing/2014/chart" uri="{C3380CC4-5D6E-409C-BE32-E72D297353CC}">
              <c16:uniqueId val="{00000002-3DBC-4FD2-BBBD-4A01AF5DEE60}"/>
            </c:ext>
          </c:extLst>
        </c:ser>
        <c:dLbls>
          <c:showLegendKey val="0"/>
          <c:showVal val="0"/>
          <c:showCatName val="0"/>
          <c:showSerName val="0"/>
          <c:showPercent val="0"/>
          <c:showBubbleSize val="0"/>
        </c:dLbls>
        <c:marker val="1"/>
        <c:smooth val="0"/>
        <c:axId val="1575648544"/>
        <c:axId val="1521493440"/>
      </c:lineChart>
      <c:catAx>
        <c:axId val="157564854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Total Output of </a:t>
                </a:r>
                <a:r>
                  <a:rPr lang="en-US" sz="1000" b="0" i="0" u="none" strike="noStrike" baseline="0">
                    <a:effectLst/>
                  </a:rPr>
                  <a:t>LEO </a:t>
                </a:r>
                <a:r>
                  <a:rPr lang="en-US"/>
                  <a:t>Network (Minutes)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1493440"/>
        <c:crosses val="autoZero"/>
        <c:auto val="1"/>
        <c:lblAlgn val="ctr"/>
        <c:lblOffset val="100"/>
        <c:noMultiLvlLbl val="0"/>
      </c:catAx>
      <c:valAx>
        <c:axId val="152149344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Cost (US$)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5648544"/>
        <c:crosses val="autoZero"/>
        <c:crossBetween val="between"/>
      </c:valAx>
      <c:spPr>
        <a:noFill/>
        <a:ln>
          <a:noFill/>
        </a:ln>
        <a:effectLst/>
      </c:spPr>
    </c:plotArea>
    <c:legend>
      <c:legendPos val="b"/>
      <c:legendEntry>
        <c:idx val="2"/>
        <c:delete val="1"/>
      </c:legendEntry>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a:t>Total cost by use case (Low demand scenario) </a:t>
            </a:r>
            <a:r>
              <a:rPr lang="en-US" sz="1200" b="0" i="0" u="none" strike="noStrike" baseline="0">
                <a:effectLst/>
              </a:rPr>
              <a:t>(20% profit margin)</a:t>
            </a:r>
            <a:endParaRPr lang="en-US" sz="1200"/>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6580466952930259"/>
          <c:y val="0.18126685397946379"/>
          <c:w val="0.80223880721208529"/>
          <c:h val="0.48459830760805012"/>
        </c:manualLayout>
      </c:layout>
      <c:areaChart>
        <c:grouping val="stacked"/>
        <c:varyColors val="0"/>
        <c:ser>
          <c:idx val="0"/>
          <c:order val="0"/>
          <c:tx>
            <c:strRef>
              <c:f>DTE_cost_per_minute_forecast!$B$3</c:f>
              <c:strCache>
                <c:ptCount val="1"/>
                <c:pt idx="0">
                  <c:v>Human Space Flight</c:v>
                </c:pt>
              </c:strCache>
            </c:strRef>
          </c:tx>
          <c:spPr>
            <a:solidFill>
              <a:schemeClr val="accent1"/>
            </a:solidFill>
            <a:ln>
              <a:noFill/>
            </a:ln>
            <a:effectLst/>
          </c:spPr>
          <c:cat>
            <c:numRef>
              <c:f>DTE_cost_per_minute_forecast!$C$2:$L$2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DTE_cost_per_minute_forecast!$C$3:$L$3</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1EE7-4A41-AE90-B9712615D825}"/>
            </c:ext>
          </c:extLst>
        </c:ser>
        <c:ser>
          <c:idx val="1"/>
          <c:order val="1"/>
          <c:tx>
            <c:strRef>
              <c:f>DTE_cost_per_minute_forecast!$B$4</c:f>
              <c:strCache>
                <c:ptCount val="1"/>
                <c:pt idx="0">
                  <c:v>Near Earth Robotic - LEO Science</c:v>
                </c:pt>
              </c:strCache>
            </c:strRef>
          </c:tx>
          <c:spPr>
            <a:solidFill>
              <a:schemeClr val="accent2"/>
            </a:solidFill>
            <a:ln>
              <a:noFill/>
            </a:ln>
            <a:effectLst/>
          </c:spPr>
          <c:cat>
            <c:numRef>
              <c:f>DTE_cost_per_minute_forecast!$C$2:$L$2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DTE_cost_per_minute_forecast!$C$4:$L$4</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1EE7-4A41-AE90-B9712615D825}"/>
            </c:ext>
          </c:extLst>
        </c:ser>
        <c:ser>
          <c:idx val="2"/>
          <c:order val="2"/>
          <c:tx>
            <c:strRef>
              <c:f>DTE_cost_per_minute_forecast!$B$5</c:f>
              <c:strCache>
                <c:ptCount val="1"/>
                <c:pt idx="0">
                  <c:v>Near Earth Robotic - GEO and Near Earth</c:v>
                </c:pt>
              </c:strCache>
            </c:strRef>
          </c:tx>
          <c:spPr>
            <a:solidFill>
              <a:schemeClr val="accent3"/>
            </a:solidFill>
            <a:ln>
              <a:noFill/>
            </a:ln>
            <a:effectLst/>
          </c:spPr>
          <c:cat>
            <c:numRef>
              <c:f>DTE_cost_per_minute_forecast!$C$2:$L$2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DTE_cost_per_minute_forecast!$C$5:$L$5</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2-1EE7-4A41-AE90-B9712615D825}"/>
            </c:ext>
          </c:extLst>
        </c:ser>
        <c:ser>
          <c:idx val="3"/>
          <c:order val="3"/>
          <c:tx>
            <c:strRef>
              <c:f>DTE_cost_per_minute_forecast!$B$6</c:f>
              <c:strCache>
                <c:ptCount val="1"/>
                <c:pt idx="0">
                  <c:v>Deep Space Robotic</c:v>
                </c:pt>
              </c:strCache>
            </c:strRef>
          </c:tx>
          <c:spPr>
            <a:solidFill>
              <a:schemeClr val="accent4"/>
            </a:solidFill>
            <a:ln w="25400">
              <a:noFill/>
            </a:ln>
            <a:effectLst/>
          </c:spPr>
          <c:cat>
            <c:numRef>
              <c:f>DTE_cost_per_minute_forecast!$C$2:$L$2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DTE_cost_per_minute_forecast!$C$6:$L$6</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1EE7-4A41-AE90-B9712615D825}"/>
            </c:ext>
          </c:extLst>
        </c:ser>
        <c:ser>
          <c:idx val="4"/>
          <c:order val="4"/>
          <c:tx>
            <c:strRef>
              <c:f>DTE_cost_per_minute_forecast!$B$7</c:f>
              <c:strCache>
                <c:ptCount val="1"/>
                <c:pt idx="0">
                  <c:v>Near Earth Robotic - Low Latency &amp; Complex Needs</c:v>
                </c:pt>
              </c:strCache>
            </c:strRef>
          </c:tx>
          <c:spPr>
            <a:solidFill>
              <a:schemeClr val="accent5"/>
            </a:solidFill>
            <a:ln w="25400">
              <a:noFill/>
            </a:ln>
            <a:effectLst/>
          </c:spPr>
          <c:cat>
            <c:numRef>
              <c:f>DTE_cost_per_minute_forecast!$C$2:$L$2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DTE_cost_per_minute_forecast!$C$7:$L$7</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1EE7-4A41-AE90-B9712615D825}"/>
            </c:ext>
          </c:extLst>
        </c:ser>
        <c:ser>
          <c:idx val="5"/>
          <c:order val="5"/>
          <c:tx>
            <c:strRef>
              <c:f>DTE_cost_per_minute_forecast!$B$8</c:f>
              <c:strCache>
                <c:ptCount val="1"/>
                <c:pt idx="0">
                  <c:v>Mission Operations</c:v>
                </c:pt>
              </c:strCache>
            </c:strRef>
          </c:tx>
          <c:spPr>
            <a:solidFill>
              <a:schemeClr val="accent6"/>
            </a:solidFill>
            <a:ln w="25400">
              <a:noFill/>
            </a:ln>
            <a:effectLst/>
          </c:spPr>
          <c:cat>
            <c:numRef>
              <c:f>DTE_cost_per_minute_forecast!$C$2:$L$2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DTE_cost_per_minute_forecast!$C$8:$L$8</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1EE7-4A41-AE90-B9712615D825}"/>
            </c:ext>
          </c:extLst>
        </c:ser>
        <c:ser>
          <c:idx val="6"/>
          <c:order val="6"/>
          <c:tx>
            <c:strRef>
              <c:f>DTE_cost_per_minute_forecast!$B$9</c:f>
              <c:strCache>
                <c:ptCount val="1"/>
                <c:pt idx="0">
                  <c:v>Launch Events</c:v>
                </c:pt>
              </c:strCache>
            </c:strRef>
          </c:tx>
          <c:spPr>
            <a:solidFill>
              <a:schemeClr val="accent1">
                <a:lumMod val="60000"/>
              </a:schemeClr>
            </a:solidFill>
            <a:ln w="25400">
              <a:noFill/>
            </a:ln>
            <a:effectLst/>
          </c:spPr>
          <c:cat>
            <c:numRef>
              <c:f>DTE_cost_per_minute_forecast!$C$2:$L$2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DTE_cost_per_minute_forecast!$C$9:$L$9</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6-1EE7-4A41-AE90-B9712615D825}"/>
            </c:ext>
          </c:extLst>
        </c:ser>
        <c:ser>
          <c:idx val="7"/>
          <c:order val="7"/>
          <c:tx>
            <c:strRef>
              <c:f>DTE_cost_per_minute_forecast!$B$10</c:f>
              <c:strCache>
                <c:ptCount val="1"/>
                <c:pt idx="0">
                  <c:v>Terrestrial &amp; Aerial</c:v>
                </c:pt>
              </c:strCache>
            </c:strRef>
          </c:tx>
          <c:spPr>
            <a:solidFill>
              <a:schemeClr val="accent2">
                <a:lumMod val="60000"/>
              </a:schemeClr>
            </a:solidFill>
            <a:ln w="25400">
              <a:noFill/>
            </a:ln>
            <a:effectLst/>
          </c:spPr>
          <c:cat>
            <c:numRef>
              <c:f>DTE_cost_per_minute_forecast!$C$2:$L$2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DTE_cost_per_minute_forecast!$C$10:$L$10</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7-1EE7-4A41-AE90-B9712615D825}"/>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4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r"/>
      <c:layout>
        <c:manualLayout>
          <c:xMode val="edge"/>
          <c:yMode val="edge"/>
          <c:x val="4.4387242158854021E-2"/>
          <c:y val="0.77799516251514711"/>
          <c:w val="0.91285533192475909"/>
          <c:h val="0.1898369369539180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b="0" i="0" baseline="0">
                <a:effectLst/>
              </a:rPr>
              <a:t>Total cost by use case (Baseline demand scenario) </a:t>
            </a:r>
            <a:r>
              <a:rPr lang="en-US" sz="1200" b="0" i="0" u="none" strike="noStrike" baseline="0">
                <a:effectLst/>
              </a:rPr>
              <a:t>(20% profit margin)</a:t>
            </a:r>
            <a:endParaRPr lang="en-US" sz="1200">
              <a:effectLst/>
            </a:endParaRP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5591303187231501"/>
          <c:y val="0.14037169986104678"/>
          <c:w val="0.81213044486907282"/>
          <c:h val="0.54532445340563085"/>
        </c:manualLayout>
      </c:layout>
      <c:areaChart>
        <c:grouping val="stacked"/>
        <c:varyColors val="0"/>
        <c:ser>
          <c:idx val="0"/>
          <c:order val="0"/>
          <c:tx>
            <c:strRef>
              <c:f>DTE_cost_per_minute_forecast!$B$21</c:f>
              <c:strCache>
                <c:ptCount val="1"/>
                <c:pt idx="0">
                  <c:v>Human Space Flight</c:v>
                </c:pt>
              </c:strCache>
            </c:strRef>
          </c:tx>
          <c:spPr>
            <a:solidFill>
              <a:schemeClr val="accent1"/>
            </a:solidFill>
            <a:ln>
              <a:noFill/>
            </a:ln>
            <a:effectLst/>
          </c:spPr>
          <c:cat>
            <c:numRef>
              <c:f>DTE_cost_per_minute_forecast!$C$20:$L$20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DTE_cost_per_minute_forecast!$C$21:$L$21</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9894-4741-90D0-8FE377FCD32E}"/>
            </c:ext>
          </c:extLst>
        </c:ser>
        <c:ser>
          <c:idx val="1"/>
          <c:order val="1"/>
          <c:tx>
            <c:strRef>
              <c:f>DTE_cost_per_minute_forecast!$B$22</c:f>
              <c:strCache>
                <c:ptCount val="1"/>
                <c:pt idx="0">
                  <c:v>Near Earth Robotic - LEO Science</c:v>
                </c:pt>
              </c:strCache>
            </c:strRef>
          </c:tx>
          <c:spPr>
            <a:solidFill>
              <a:schemeClr val="accent2"/>
            </a:solidFill>
            <a:ln>
              <a:noFill/>
            </a:ln>
            <a:effectLst/>
          </c:spPr>
          <c:cat>
            <c:numRef>
              <c:f>DTE_cost_per_minute_forecast!$C$20:$L$20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DTE_cost_per_minute_forecast!$C$22:$L$22</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9894-4741-90D0-8FE377FCD32E}"/>
            </c:ext>
          </c:extLst>
        </c:ser>
        <c:ser>
          <c:idx val="2"/>
          <c:order val="2"/>
          <c:tx>
            <c:strRef>
              <c:f>DTE_cost_per_minute_forecast!$B$23</c:f>
              <c:strCache>
                <c:ptCount val="1"/>
                <c:pt idx="0">
                  <c:v>Near Earth Robotic - GEO and Near Earth</c:v>
                </c:pt>
              </c:strCache>
            </c:strRef>
          </c:tx>
          <c:spPr>
            <a:solidFill>
              <a:schemeClr val="accent3"/>
            </a:solidFill>
            <a:ln>
              <a:noFill/>
            </a:ln>
            <a:effectLst/>
          </c:spPr>
          <c:cat>
            <c:numRef>
              <c:f>DTE_cost_per_minute_forecast!$C$20:$L$20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DTE_cost_per_minute_forecast!$C$23:$L$23</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2-9894-4741-90D0-8FE377FCD32E}"/>
            </c:ext>
          </c:extLst>
        </c:ser>
        <c:ser>
          <c:idx val="3"/>
          <c:order val="3"/>
          <c:tx>
            <c:strRef>
              <c:f>DTE_cost_per_minute_forecast!$B$24</c:f>
              <c:strCache>
                <c:ptCount val="1"/>
                <c:pt idx="0">
                  <c:v>Deep Space Robotic</c:v>
                </c:pt>
              </c:strCache>
            </c:strRef>
          </c:tx>
          <c:spPr>
            <a:solidFill>
              <a:schemeClr val="accent4"/>
            </a:solidFill>
            <a:ln w="25400">
              <a:noFill/>
            </a:ln>
            <a:effectLst/>
          </c:spPr>
          <c:cat>
            <c:numRef>
              <c:f>DTE_cost_per_minute_forecast!$C$20:$L$20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DTE_cost_per_minute_forecast!$C$24:$L$24</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9894-4741-90D0-8FE377FCD32E}"/>
            </c:ext>
          </c:extLst>
        </c:ser>
        <c:ser>
          <c:idx val="4"/>
          <c:order val="4"/>
          <c:tx>
            <c:strRef>
              <c:f>DTE_cost_per_minute_forecast!$B$25</c:f>
              <c:strCache>
                <c:ptCount val="1"/>
                <c:pt idx="0">
                  <c:v>Near Earth Robotic - Low Latency &amp; Complex Needs</c:v>
                </c:pt>
              </c:strCache>
            </c:strRef>
          </c:tx>
          <c:spPr>
            <a:solidFill>
              <a:schemeClr val="accent5"/>
            </a:solidFill>
            <a:ln w="25400">
              <a:noFill/>
            </a:ln>
            <a:effectLst/>
          </c:spPr>
          <c:cat>
            <c:numRef>
              <c:f>DTE_cost_per_minute_forecast!$C$20:$L$20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DTE_cost_per_minute_forecast!$C$25:$L$25</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9894-4741-90D0-8FE377FCD32E}"/>
            </c:ext>
          </c:extLst>
        </c:ser>
        <c:ser>
          <c:idx val="5"/>
          <c:order val="5"/>
          <c:tx>
            <c:strRef>
              <c:f>DTE_cost_per_minute_forecast!$B$26</c:f>
              <c:strCache>
                <c:ptCount val="1"/>
                <c:pt idx="0">
                  <c:v>Mission Operations</c:v>
                </c:pt>
              </c:strCache>
            </c:strRef>
          </c:tx>
          <c:spPr>
            <a:solidFill>
              <a:schemeClr val="accent6"/>
            </a:solidFill>
            <a:ln w="25400">
              <a:noFill/>
            </a:ln>
            <a:effectLst/>
          </c:spPr>
          <c:cat>
            <c:numRef>
              <c:f>DTE_cost_per_minute_forecast!$C$20:$L$20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DTE_cost_per_minute_forecast!$C$26:$L$26</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9894-4741-90D0-8FE377FCD32E}"/>
            </c:ext>
          </c:extLst>
        </c:ser>
        <c:ser>
          <c:idx val="6"/>
          <c:order val="6"/>
          <c:tx>
            <c:strRef>
              <c:f>DTE_cost_per_minute_forecast!$B$27</c:f>
              <c:strCache>
                <c:ptCount val="1"/>
                <c:pt idx="0">
                  <c:v>Launch Events</c:v>
                </c:pt>
              </c:strCache>
            </c:strRef>
          </c:tx>
          <c:spPr>
            <a:solidFill>
              <a:schemeClr val="accent1">
                <a:lumMod val="60000"/>
              </a:schemeClr>
            </a:solidFill>
            <a:ln w="25400">
              <a:noFill/>
            </a:ln>
            <a:effectLst/>
          </c:spPr>
          <c:cat>
            <c:numRef>
              <c:f>DTE_cost_per_minute_forecast!$C$20:$L$20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DTE_cost_per_minute_forecast!$C$27:$L$27</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6-9894-4741-90D0-8FE377FCD32E}"/>
            </c:ext>
          </c:extLst>
        </c:ser>
        <c:ser>
          <c:idx val="7"/>
          <c:order val="7"/>
          <c:tx>
            <c:strRef>
              <c:f>DTE_cost_per_minute_forecast!$B$28</c:f>
              <c:strCache>
                <c:ptCount val="1"/>
                <c:pt idx="0">
                  <c:v>Terrestrial &amp; Aerial</c:v>
                </c:pt>
              </c:strCache>
            </c:strRef>
          </c:tx>
          <c:spPr>
            <a:solidFill>
              <a:schemeClr val="accent2">
                <a:lumMod val="60000"/>
              </a:schemeClr>
            </a:solidFill>
            <a:ln w="25400">
              <a:noFill/>
            </a:ln>
            <a:effectLst/>
          </c:spPr>
          <c:cat>
            <c:numRef>
              <c:f>DTE_cost_per_minute_forecast!$C$20:$L$20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DTE_cost_per_minute_forecast!$C$28:$L$28</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7-9894-4741-90D0-8FE377FCD32E}"/>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b="0" i="0" baseline="0">
                <a:effectLst/>
              </a:rPr>
              <a:t>Total cost by use case (High demand scenario) </a:t>
            </a:r>
            <a:r>
              <a:rPr lang="en-US" sz="1200" b="0" i="0" u="none" strike="noStrike" baseline="0">
                <a:effectLst/>
              </a:rPr>
              <a:t>(20% profit margin)</a:t>
            </a:r>
            <a:endParaRPr lang="en-US" sz="1200">
              <a:effectLst/>
            </a:endParaRP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6648066522503069"/>
          <c:y val="0.13755100539470003"/>
          <c:w val="0.80156281151635722"/>
          <c:h val="0.56663816329744165"/>
        </c:manualLayout>
      </c:layout>
      <c:areaChart>
        <c:grouping val="stacked"/>
        <c:varyColors val="0"/>
        <c:ser>
          <c:idx val="0"/>
          <c:order val="0"/>
          <c:tx>
            <c:strRef>
              <c:f>DTE_cost_per_minute_forecast!$B$39</c:f>
              <c:strCache>
                <c:ptCount val="1"/>
                <c:pt idx="0">
                  <c:v>Human Space Flight</c:v>
                </c:pt>
              </c:strCache>
            </c:strRef>
          </c:tx>
          <c:spPr>
            <a:solidFill>
              <a:schemeClr val="accent1"/>
            </a:solidFill>
            <a:ln>
              <a:noFill/>
            </a:ln>
            <a:effectLst/>
          </c:spPr>
          <c:cat>
            <c:numRef>
              <c:f>DTE_cost_per_minute_forecast!$C$38:$L$38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DTE_cost_per_minute_forecast!$C$39:$L$39</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D691-4B38-B423-AF7EF95B44F0}"/>
            </c:ext>
          </c:extLst>
        </c:ser>
        <c:ser>
          <c:idx val="1"/>
          <c:order val="1"/>
          <c:tx>
            <c:strRef>
              <c:f>DTE_cost_per_minute_forecast!$B$40</c:f>
              <c:strCache>
                <c:ptCount val="1"/>
                <c:pt idx="0">
                  <c:v>Near Earth Robotic - LEO Science</c:v>
                </c:pt>
              </c:strCache>
            </c:strRef>
          </c:tx>
          <c:spPr>
            <a:solidFill>
              <a:schemeClr val="accent2"/>
            </a:solidFill>
            <a:ln>
              <a:noFill/>
            </a:ln>
            <a:effectLst/>
          </c:spPr>
          <c:cat>
            <c:numRef>
              <c:f>DTE_cost_per_minute_forecast!$C$38:$L$38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DTE_cost_per_minute_forecast!$C$40:$L$40</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D691-4B38-B423-AF7EF95B44F0}"/>
            </c:ext>
          </c:extLst>
        </c:ser>
        <c:ser>
          <c:idx val="2"/>
          <c:order val="2"/>
          <c:tx>
            <c:strRef>
              <c:f>DTE_cost_per_minute_forecast!$B$41</c:f>
              <c:strCache>
                <c:ptCount val="1"/>
                <c:pt idx="0">
                  <c:v>Near Earth Robotic - GEO and Near Earth</c:v>
                </c:pt>
              </c:strCache>
            </c:strRef>
          </c:tx>
          <c:spPr>
            <a:solidFill>
              <a:schemeClr val="accent3"/>
            </a:solidFill>
            <a:ln>
              <a:noFill/>
            </a:ln>
            <a:effectLst/>
          </c:spPr>
          <c:cat>
            <c:numRef>
              <c:f>DTE_cost_per_minute_forecast!$C$38:$L$38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DTE_cost_per_minute_forecast!$C$41:$L$41</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2-D691-4B38-B423-AF7EF95B44F0}"/>
            </c:ext>
          </c:extLst>
        </c:ser>
        <c:ser>
          <c:idx val="3"/>
          <c:order val="3"/>
          <c:tx>
            <c:strRef>
              <c:f>DTE_cost_per_minute_forecast!$B$42</c:f>
              <c:strCache>
                <c:ptCount val="1"/>
                <c:pt idx="0">
                  <c:v>Deep Space Robotic</c:v>
                </c:pt>
              </c:strCache>
            </c:strRef>
          </c:tx>
          <c:spPr>
            <a:solidFill>
              <a:schemeClr val="accent4"/>
            </a:solidFill>
            <a:ln w="25400">
              <a:noFill/>
            </a:ln>
            <a:effectLst/>
          </c:spPr>
          <c:cat>
            <c:numRef>
              <c:f>DTE_cost_per_minute_forecast!$C$38:$L$38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DTE_cost_per_minute_forecast!$C$42:$L$42</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D691-4B38-B423-AF7EF95B44F0}"/>
            </c:ext>
          </c:extLst>
        </c:ser>
        <c:ser>
          <c:idx val="4"/>
          <c:order val="4"/>
          <c:tx>
            <c:strRef>
              <c:f>DTE_cost_per_minute_forecast!$B$43</c:f>
              <c:strCache>
                <c:ptCount val="1"/>
                <c:pt idx="0">
                  <c:v>Near Earth Robotic - Low Latency &amp; Complex Needs</c:v>
                </c:pt>
              </c:strCache>
            </c:strRef>
          </c:tx>
          <c:spPr>
            <a:solidFill>
              <a:schemeClr val="accent5"/>
            </a:solidFill>
            <a:ln w="25400">
              <a:noFill/>
            </a:ln>
            <a:effectLst/>
          </c:spPr>
          <c:cat>
            <c:numRef>
              <c:f>DTE_cost_per_minute_forecast!$C$38:$L$38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DTE_cost_per_minute_forecast!$C$43:$L$43</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D691-4B38-B423-AF7EF95B44F0}"/>
            </c:ext>
          </c:extLst>
        </c:ser>
        <c:ser>
          <c:idx val="5"/>
          <c:order val="5"/>
          <c:tx>
            <c:strRef>
              <c:f>DTE_cost_per_minute_forecast!$B$44</c:f>
              <c:strCache>
                <c:ptCount val="1"/>
                <c:pt idx="0">
                  <c:v>Mission Operations</c:v>
                </c:pt>
              </c:strCache>
            </c:strRef>
          </c:tx>
          <c:spPr>
            <a:solidFill>
              <a:schemeClr val="accent6"/>
            </a:solidFill>
            <a:ln w="25400">
              <a:noFill/>
            </a:ln>
            <a:effectLst/>
          </c:spPr>
          <c:cat>
            <c:numRef>
              <c:f>DTE_cost_per_minute_forecast!$C$38:$L$38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DTE_cost_per_minute_forecast!$C$44:$L$44</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D691-4B38-B423-AF7EF95B44F0}"/>
            </c:ext>
          </c:extLst>
        </c:ser>
        <c:ser>
          <c:idx val="6"/>
          <c:order val="6"/>
          <c:tx>
            <c:strRef>
              <c:f>DTE_cost_per_minute_forecast!$B$45</c:f>
              <c:strCache>
                <c:ptCount val="1"/>
                <c:pt idx="0">
                  <c:v>Launch Events</c:v>
                </c:pt>
              </c:strCache>
            </c:strRef>
          </c:tx>
          <c:spPr>
            <a:solidFill>
              <a:schemeClr val="accent1">
                <a:lumMod val="60000"/>
              </a:schemeClr>
            </a:solidFill>
            <a:ln w="25400">
              <a:noFill/>
            </a:ln>
            <a:effectLst/>
          </c:spPr>
          <c:cat>
            <c:numRef>
              <c:f>DTE_cost_per_minute_forecast!$C$38:$L$38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DTE_cost_per_minute_forecast!$C$45:$L$45</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6-D691-4B38-B423-AF7EF95B44F0}"/>
            </c:ext>
          </c:extLst>
        </c:ser>
        <c:ser>
          <c:idx val="7"/>
          <c:order val="7"/>
          <c:tx>
            <c:strRef>
              <c:f>DTE_cost_per_minute_forecast!$B$46</c:f>
              <c:strCache>
                <c:ptCount val="1"/>
                <c:pt idx="0">
                  <c:v>Terrestrial &amp; Aerial</c:v>
                </c:pt>
              </c:strCache>
            </c:strRef>
          </c:tx>
          <c:spPr>
            <a:solidFill>
              <a:schemeClr val="accent2">
                <a:lumMod val="60000"/>
              </a:schemeClr>
            </a:solidFill>
            <a:ln w="25400">
              <a:noFill/>
            </a:ln>
            <a:effectLst/>
          </c:spPr>
          <c:cat>
            <c:numRef>
              <c:f>DTE_cost_per_minute_forecast!$C$38:$L$38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DTE_cost_per_minute_forecast!$C$46:$L$46</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7-D691-4B38-B423-AF7EF95B44F0}"/>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4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DTE </a:t>
            </a:r>
            <a:r>
              <a:rPr lang="en-US"/>
              <a:t>Total aggregate cost by scenario (20%</a:t>
            </a:r>
            <a:r>
              <a:rPr lang="en-US" baseline="0"/>
              <a:t> profit margin)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DTE_cost_per_minute_forecast!$B$1</c:f>
              <c:strCache>
                <c:ptCount val="1"/>
                <c:pt idx="0">
                  <c:v>Low Demand</c:v>
                </c:pt>
              </c:strCache>
            </c:strRef>
          </c:tx>
          <c:spPr>
            <a:ln w="28575" cap="rnd">
              <a:solidFill>
                <a:schemeClr val="accent1"/>
              </a:solidFill>
              <a:round/>
            </a:ln>
            <a:effectLst/>
          </c:spPr>
          <c:marker>
            <c:symbol val="none"/>
          </c:marker>
          <c:cat>
            <c:numRef>
              <c:f>DTE_cost_per_minute_forecast!$C$2:$L$2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DTE_cost_per_minute_forecast!$C$11:$L$11</c:f>
              <c:numCache>
                <c:formatCode>_(* #,##0_);_(* \(#,##0\);_(* "-"??_);_(@_)</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0-10E4-4EF7-BEFD-FF0018F4AA4A}"/>
            </c:ext>
          </c:extLst>
        </c:ser>
        <c:ser>
          <c:idx val="1"/>
          <c:order val="1"/>
          <c:tx>
            <c:strRef>
              <c:f>DTE_cost_per_minute_forecast!$B$19</c:f>
              <c:strCache>
                <c:ptCount val="1"/>
                <c:pt idx="0">
                  <c:v>Baseline Demand</c:v>
                </c:pt>
              </c:strCache>
            </c:strRef>
          </c:tx>
          <c:spPr>
            <a:ln w="28575" cap="rnd">
              <a:solidFill>
                <a:schemeClr val="accent2"/>
              </a:solidFill>
              <a:round/>
            </a:ln>
            <a:effectLst/>
          </c:spPr>
          <c:marker>
            <c:symbol val="none"/>
          </c:marker>
          <c:cat>
            <c:numRef>
              <c:f>DTE_cost_per_minute_forecast!$C$2:$L$2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DTE_cost_per_minute_forecast!$C$29:$L$29</c:f>
              <c:numCache>
                <c:formatCode>_(* #,##0_);_(* \(#,##0\);_(* "-"??_);_(@_)</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1-10E4-4EF7-BEFD-FF0018F4AA4A}"/>
            </c:ext>
          </c:extLst>
        </c:ser>
        <c:ser>
          <c:idx val="2"/>
          <c:order val="2"/>
          <c:tx>
            <c:strRef>
              <c:f>DTE_cost_per_minute_forecast!$B$37</c:f>
              <c:strCache>
                <c:ptCount val="1"/>
                <c:pt idx="0">
                  <c:v>High Demand</c:v>
                </c:pt>
              </c:strCache>
            </c:strRef>
          </c:tx>
          <c:spPr>
            <a:ln w="28575" cap="rnd">
              <a:solidFill>
                <a:schemeClr val="accent3"/>
              </a:solidFill>
              <a:round/>
            </a:ln>
            <a:effectLst/>
          </c:spPr>
          <c:marker>
            <c:symbol val="none"/>
          </c:marker>
          <c:cat>
            <c:numRef>
              <c:f>DTE_cost_per_minute_forecast!$C$2:$L$2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DTE_cost_per_minute_forecast!$C$47:$L$47</c:f>
              <c:numCache>
                <c:formatCode>_(* #,##0_);_(* \(#,##0\);_(* "-"??_);_(@_)</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2-10E4-4EF7-BEFD-FF0018F4AA4A}"/>
            </c:ext>
          </c:extLst>
        </c:ser>
        <c:dLbls>
          <c:showLegendKey val="0"/>
          <c:showVal val="0"/>
          <c:showCatName val="0"/>
          <c:showSerName val="0"/>
          <c:showPercent val="0"/>
          <c:showBubbleSize val="0"/>
        </c:dLbls>
        <c:smooth val="0"/>
        <c:axId val="377482960"/>
        <c:axId val="377479632"/>
      </c:lineChart>
      <c:catAx>
        <c:axId val="3774829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7479632"/>
        <c:crosses val="autoZero"/>
        <c:auto val="1"/>
        <c:lblAlgn val="ctr"/>
        <c:lblOffset val="100"/>
        <c:noMultiLvlLbl val="0"/>
      </c:catAx>
      <c:valAx>
        <c:axId val="37747963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74829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a:t>Total cost by use case (Low demand scenario) </a:t>
            </a:r>
            <a:r>
              <a:rPr lang="en-US" sz="1200" b="0" i="0" u="none" strike="noStrike" baseline="0">
                <a:effectLst/>
              </a:rPr>
              <a:t>(40% profit margin)</a:t>
            </a:r>
            <a:endParaRPr lang="en-US" sz="1200"/>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6580466952930259"/>
          <c:y val="0.18126685397946379"/>
          <c:w val="0.80223880721208529"/>
          <c:h val="0.48459830760805012"/>
        </c:manualLayout>
      </c:layout>
      <c:areaChart>
        <c:grouping val="stacked"/>
        <c:varyColors val="0"/>
        <c:ser>
          <c:idx val="0"/>
          <c:order val="0"/>
          <c:tx>
            <c:strRef>
              <c:f>DTE_cost_per_minute_forecast!$B$59</c:f>
              <c:strCache>
                <c:ptCount val="1"/>
                <c:pt idx="0">
                  <c:v>Human Space Flight</c:v>
                </c:pt>
              </c:strCache>
            </c:strRef>
          </c:tx>
          <c:spPr>
            <a:solidFill>
              <a:schemeClr val="accent1"/>
            </a:solidFill>
            <a:ln>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DTE_cost_per_minute_forecast!$C$59:$L$59</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A410-4D3F-BC28-D8AC640B2EE3}"/>
            </c:ext>
          </c:extLst>
        </c:ser>
        <c:ser>
          <c:idx val="1"/>
          <c:order val="1"/>
          <c:tx>
            <c:strRef>
              <c:f>DTE_cost_per_minute_forecast!$B$60</c:f>
              <c:strCache>
                <c:ptCount val="1"/>
                <c:pt idx="0">
                  <c:v>Near Earth Robotic - LEO Science</c:v>
                </c:pt>
              </c:strCache>
            </c:strRef>
          </c:tx>
          <c:spPr>
            <a:solidFill>
              <a:schemeClr val="accent2"/>
            </a:solidFill>
            <a:ln>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DTE_cost_per_minute_forecast!$C$60:$L$60</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A410-4D3F-BC28-D8AC640B2EE3}"/>
            </c:ext>
          </c:extLst>
        </c:ser>
        <c:ser>
          <c:idx val="2"/>
          <c:order val="2"/>
          <c:tx>
            <c:strRef>
              <c:f>DTE_cost_per_minute_forecast!$B$61</c:f>
              <c:strCache>
                <c:ptCount val="1"/>
                <c:pt idx="0">
                  <c:v>Near Earth Robotic - GEO and Near Earth</c:v>
                </c:pt>
              </c:strCache>
            </c:strRef>
          </c:tx>
          <c:spPr>
            <a:solidFill>
              <a:schemeClr val="accent3"/>
            </a:solidFill>
            <a:ln>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DTE_cost_per_minute_forecast!$C$61:$L$61</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2-A410-4D3F-BC28-D8AC640B2EE3}"/>
            </c:ext>
          </c:extLst>
        </c:ser>
        <c:ser>
          <c:idx val="3"/>
          <c:order val="3"/>
          <c:tx>
            <c:strRef>
              <c:f>DTE_cost_per_minute_forecast!$B$62</c:f>
              <c:strCache>
                <c:ptCount val="1"/>
                <c:pt idx="0">
                  <c:v>Deep Space Robotic</c:v>
                </c:pt>
              </c:strCache>
            </c:strRef>
          </c:tx>
          <c:spPr>
            <a:solidFill>
              <a:schemeClr val="accent4"/>
            </a:solidFill>
            <a:ln w="25400">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DTE_cost_per_minute_forecast!$C$62:$L$62</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A410-4D3F-BC28-D8AC640B2EE3}"/>
            </c:ext>
          </c:extLst>
        </c:ser>
        <c:ser>
          <c:idx val="4"/>
          <c:order val="4"/>
          <c:tx>
            <c:strRef>
              <c:f>DTE_cost_per_minute_forecast!$B$63</c:f>
              <c:strCache>
                <c:ptCount val="1"/>
                <c:pt idx="0">
                  <c:v>Near Earth Robotic - Low Latency &amp; Complex Needs</c:v>
                </c:pt>
              </c:strCache>
            </c:strRef>
          </c:tx>
          <c:spPr>
            <a:solidFill>
              <a:schemeClr val="accent5"/>
            </a:solidFill>
            <a:ln w="25400">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DTE_cost_per_minute_forecast!$C$63:$L$63</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A410-4D3F-BC28-D8AC640B2EE3}"/>
            </c:ext>
          </c:extLst>
        </c:ser>
        <c:ser>
          <c:idx val="5"/>
          <c:order val="5"/>
          <c:tx>
            <c:strRef>
              <c:f>DTE_cost_per_minute_forecast!$B$64</c:f>
              <c:strCache>
                <c:ptCount val="1"/>
                <c:pt idx="0">
                  <c:v>Mission Operations</c:v>
                </c:pt>
              </c:strCache>
            </c:strRef>
          </c:tx>
          <c:spPr>
            <a:solidFill>
              <a:schemeClr val="accent6"/>
            </a:solidFill>
            <a:ln w="25400">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DTE_cost_per_minute_forecast!$C$64:$L$64</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A410-4D3F-BC28-D8AC640B2EE3}"/>
            </c:ext>
          </c:extLst>
        </c:ser>
        <c:ser>
          <c:idx val="6"/>
          <c:order val="6"/>
          <c:tx>
            <c:strRef>
              <c:f>DTE_cost_per_minute_forecast!$B$65</c:f>
              <c:strCache>
                <c:ptCount val="1"/>
                <c:pt idx="0">
                  <c:v>Launch Events</c:v>
                </c:pt>
              </c:strCache>
            </c:strRef>
          </c:tx>
          <c:spPr>
            <a:solidFill>
              <a:schemeClr val="accent1">
                <a:lumMod val="60000"/>
              </a:schemeClr>
            </a:solidFill>
            <a:ln w="25400">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DTE_cost_per_minute_forecast!$C$65:$L$65</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6-A410-4D3F-BC28-D8AC640B2EE3}"/>
            </c:ext>
          </c:extLst>
        </c:ser>
        <c:ser>
          <c:idx val="7"/>
          <c:order val="7"/>
          <c:tx>
            <c:strRef>
              <c:f>DTE_cost_per_minute_forecast!$B$66</c:f>
              <c:strCache>
                <c:ptCount val="1"/>
                <c:pt idx="0">
                  <c:v>Terrestrial &amp; Aerial</c:v>
                </c:pt>
              </c:strCache>
            </c:strRef>
          </c:tx>
          <c:spPr>
            <a:solidFill>
              <a:schemeClr val="accent2">
                <a:lumMod val="60000"/>
              </a:schemeClr>
            </a:solidFill>
            <a:ln w="25400">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DTE_cost_per_minute_forecast!$C$66:$L$66</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7-A410-4D3F-BC28-D8AC640B2EE3}"/>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4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r"/>
      <c:layout>
        <c:manualLayout>
          <c:xMode val="edge"/>
          <c:yMode val="edge"/>
          <c:x val="4.4387242158854021E-2"/>
          <c:y val="0.77799516251514711"/>
          <c:w val="0.91285533192475909"/>
          <c:h val="0.1898369369539180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200" b="0" i="0" u="none" strike="noStrike" kern="1200" spc="0" baseline="0">
                <a:solidFill>
                  <a:sysClr val="windowText" lastClr="000000">
                    <a:lumMod val="65000"/>
                    <a:lumOff val="35000"/>
                  </a:sysClr>
                </a:solidFill>
                <a:latin typeface="+mn-lt"/>
                <a:ea typeface="+mn-ea"/>
                <a:cs typeface="+mn-cs"/>
              </a:defRPr>
            </a:pPr>
            <a:r>
              <a:rPr lang="en-US" sz="1200" b="0" i="0" baseline="0">
                <a:effectLst/>
              </a:rPr>
              <a:t>Total cost by use case (Baseline demand </a:t>
            </a:r>
            <a:r>
              <a:rPr lang="en-US" sz="1200" b="0" i="0" u="none" strike="noStrike" kern="1200" spc="0" baseline="0">
                <a:solidFill>
                  <a:sysClr val="windowText" lastClr="000000">
                    <a:lumMod val="65000"/>
                    <a:lumOff val="35000"/>
                  </a:sysClr>
                </a:solidFill>
                <a:effectLst/>
                <a:latin typeface="+mn-lt"/>
                <a:ea typeface="+mn-ea"/>
                <a:cs typeface="+mn-cs"/>
              </a:rPr>
              <a:t>scenario) (40% profit margin)</a:t>
            </a:r>
            <a:r>
              <a:rPr lang="en-US" sz="1200" b="0" i="0" baseline="0">
                <a:effectLst/>
              </a:rPr>
              <a:t> </a:t>
            </a:r>
            <a:endParaRPr lang="en-US" sz="1200">
              <a:effectLst/>
            </a:endParaRP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2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lotArea>
      <c:layout>
        <c:manualLayout>
          <c:layoutTarget val="inner"/>
          <c:xMode val="edge"/>
          <c:yMode val="edge"/>
          <c:x val="0.15591303187231501"/>
          <c:y val="0.14037169986104678"/>
          <c:w val="0.81213044486907282"/>
          <c:h val="0.57779952138335644"/>
        </c:manualLayout>
      </c:layout>
      <c:areaChart>
        <c:grouping val="stacked"/>
        <c:varyColors val="0"/>
        <c:ser>
          <c:idx val="0"/>
          <c:order val="0"/>
          <c:tx>
            <c:strRef>
              <c:f>DTE_cost_per_minute_forecast!$B$77</c:f>
              <c:strCache>
                <c:ptCount val="1"/>
                <c:pt idx="0">
                  <c:v>Human Space Flight</c:v>
                </c:pt>
              </c:strCache>
            </c:strRef>
          </c:tx>
          <c:spPr>
            <a:solidFill>
              <a:schemeClr val="accent1"/>
            </a:solidFill>
            <a:ln>
              <a:noFill/>
            </a:ln>
            <a:effectLst/>
          </c:spPr>
          <c:cat>
            <c:numRef>
              <c:f>DTE_cost_per_minute_forecast!$C$76:$L$76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DTE_cost_per_minute_forecast!$C$77:$L$77</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3332-4512-971C-3617D4EA4A8F}"/>
            </c:ext>
          </c:extLst>
        </c:ser>
        <c:ser>
          <c:idx val="1"/>
          <c:order val="1"/>
          <c:tx>
            <c:strRef>
              <c:f>DTE_cost_per_minute_forecast!$B$78</c:f>
              <c:strCache>
                <c:ptCount val="1"/>
                <c:pt idx="0">
                  <c:v>Near Earth Robotic - LEO Science</c:v>
                </c:pt>
              </c:strCache>
            </c:strRef>
          </c:tx>
          <c:spPr>
            <a:solidFill>
              <a:schemeClr val="accent2"/>
            </a:solidFill>
            <a:ln>
              <a:noFill/>
            </a:ln>
            <a:effectLst/>
          </c:spPr>
          <c:cat>
            <c:numRef>
              <c:f>DTE_cost_per_minute_forecast!$C$76:$L$76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DTE_cost_per_minute_forecast!$C$78:$L$78</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3332-4512-971C-3617D4EA4A8F}"/>
            </c:ext>
          </c:extLst>
        </c:ser>
        <c:ser>
          <c:idx val="2"/>
          <c:order val="2"/>
          <c:tx>
            <c:strRef>
              <c:f>DTE_cost_per_minute_forecast!$B$79</c:f>
              <c:strCache>
                <c:ptCount val="1"/>
                <c:pt idx="0">
                  <c:v>Near Earth Robotic - GEO and Near Earth</c:v>
                </c:pt>
              </c:strCache>
            </c:strRef>
          </c:tx>
          <c:spPr>
            <a:solidFill>
              <a:schemeClr val="accent3"/>
            </a:solidFill>
            <a:ln>
              <a:noFill/>
            </a:ln>
            <a:effectLst/>
          </c:spPr>
          <c:cat>
            <c:numRef>
              <c:f>DTE_cost_per_minute_forecast!$C$76:$L$76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DTE_cost_per_minute_forecast!$C$79:$L$79</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2-3332-4512-971C-3617D4EA4A8F}"/>
            </c:ext>
          </c:extLst>
        </c:ser>
        <c:ser>
          <c:idx val="3"/>
          <c:order val="3"/>
          <c:tx>
            <c:strRef>
              <c:f>DTE_cost_per_minute_forecast!$B$80</c:f>
              <c:strCache>
                <c:ptCount val="1"/>
                <c:pt idx="0">
                  <c:v>Deep Space Robotic</c:v>
                </c:pt>
              </c:strCache>
            </c:strRef>
          </c:tx>
          <c:spPr>
            <a:solidFill>
              <a:schemeClr val="accent4"/>
            </a:solidFill>
            <a:ln w="25400">
              <a:noFill/>
            </a:ln>
            <a:effectLst/>
          </c:spPr>
          <c:cat>
            <c:numRef>
              <c:f>DTE_cost_per_minute_forecast!$C$76:$L$76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DTE_cost_per_minute_forecast!$C$80:$L$80</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3332-4512-971C-3617D4EA4A8F}"/>
            </c:ext>
          </c:extLst>
        </c:ser>
        <c:ser>
          <c:idx val="4"/>
          <c:order val="4"/>
          <c:tx>
            <c:strRef>
              <c:f>DTE_cost_per_minute_forecast!$B$81</c:f>
              <c:strCache>
                <c:ptCount val="1"/>
                <c:pt idx="0">
                  <c:v>Near Earth Robotic - Low Latency &amp; Complex Needs</c:v>
                </c:pt>
              </c:strCache>
            </c:strRef>
          </c:tx>
          <c:spPr>
            <a:solidFill>
              <a:schemeClr val="accent5"/>
            </a:solidFill>
            <a:ln w="25400">
              <a:noFill/>
            </a:ln>
            <a:effectLst/>
          </c:spPr>
          <c:cat>
            <c:numRef>
              <c:f>DTE_cost_per_minute_forecast!$C$76:$L$76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DTE_cost_per_minute_forecast!$C$81:$L$81</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3332-4512-971C-3617D4EA4A8F}"/>
            </c:ext>
          </c:extLst>
        </c:ser>
        <c:ser>
          <c:idx val="5"/>
          <c:order val="5"/>
          <c:tx>
            <c:strRef>
              <c:f>DTE_cost_per_minute_forecast!$B$82</c:f>
              <c:strCache>
                <c:ptCount val="1"/>
                <c:pt idx="0">
                  <c:v>Mission Operations</c:v>
                </c:pt>
              </c:strCache>
            </c:strRef>
          </c:tx>
          <c:spPr>
            <a:solidFill>
              <a:schemeClr val="accent6"/>
            </a:solidFill>
            <a:ln w="25400">
              <a:noFill/>
            </a:ln>
            <a:effectLst/>
          </c:spPr>
          <c:cat>
            <c:numRef>
              <c:f>DTE_cost_per_minute_forecast!$C$76:$L$76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DTE_cost_per_minute_forecast!$C$82:$L$82</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3332-4512-971C-3617D4EA4A8F}"/>
            </c:ext>
          </c:extLst>
        </c:ser>
        <c:ser>
          <c:idx val="6"/>
          <c:order val="6"/>
          <c:tx>
            <c:strRef>
              <c:f>DTE_cost_per_minute_forecast!$B$83</c:f>
              <c:strCache>
                <c:ptCount val="1"/>
                <c:pt idx="0">
                  <c:v>Launch Events</c:v>
                </c:pt>
              </c:strCache>
            </c:strRef>
          </c:tx>
          <c:spPr>
            <a:solidFill>
              <a:schemeClr val="accent1">
                <a:lumMod val="60000"/>
              </a:schemeClr>
            </a:solidFill>
            <a:ln w="25400">
              <a:noFill/>
            </a:ln>
            <a:effectLst/>
          </c:spPr>
          <c:cat>
            <c:numRef>
              <c:f>DTE_cost_per_minute_forecast!$C$76:$L$76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DTE_cost_per_minute_forecast!$C$83:$L$83</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6-3332-4512-971C-3617D4EA4A8F}"/>
            </c:ext>
          </c:extLst>
        </c:ser>
        <c:ser>
          <c:idx val="7"/>
          <c:order val="7"/>
          <c:tx>
            <c:strRef>
              <c:f>DTE_cost_per_minute_forecast!$B$84</c:f>
              <c:strCache>
                <c:ptCount val="1"/>
                <c:pt idx="0">
                  <c:v>Terrestrial &amp; Aerial</c:v>
                </c:pt>
              </c:strCache>
            </c:strRef>
          </c:tx>
          <c:spPr>
            <a:solidFill>
              <a:schemeClr val="accent2">
                <a:lumMod val="60000"/>
              </a:schemeClr>
            </a:solidFill>
            <a:ln w="25400">
              <a:noFill/>
            </a:ln>
            <a:effectLst/>
          </c:spPr>
          <c:cat>
            <c:numRef>
              <c:f>DTE_cost_per_minute_forecast!$C$76:$L$76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DTE_cost_per_minute_forecast!$C$84:$L$84</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7-3332-4512-971C-3617D4EA4A8F}"/>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4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b="0" i="0" baseline="0">
                <a:effectLst/>
              </a:rPr>
              <a:t>Total cost by use case (High demand scenario)</a:t>
            </a:r>
            <a:r>
              <a:rPr lang="en-US" sz="1200" b="0" i="0" u="none" strike="noStrike" baseline="0">
                <a:effectLst/>
              </a:rPr>
              <a:t> (40% profit margin) </a:t>
            </a:r>
            <a:endParaRPr lang="en-US" sz="1200">
              <a:effectLst/>
            </a:endParaRP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6648066522503069"/>
          <c:y val="0.13755100539470003"/>
          <c:w val="0.80156281151635722"/>
          <c:h val="0.56663816329744165"/>
        </c:manualLayout>
      </c:layout>
      <c:areaChart>
        <c:grouping val="stacked"/>
        <c:varyColors val="0"/>
        <c:ser>
          <c:idx val="0"/>
          <c:order val="0"/>
          <c:tx>
            <c:strRef>
              <c:f>DTE_cost_per_minute_forecast!$B$95</c:f>
              <c:strCache>
                <c:ptCount val="1"/>
                <c:pt idx="0">
                  <c:v>Human Space Flight</c:v>
                </c:pt>
              </c:strCache>
            </c:strRef>
          </c:tx>
          <c:spPr>
            <a:solidFill>
              <a:schemeClr val="accent1"/>
            </a:solidFill>
            <a:ln>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DTE_cost_per_minute_forecast!$C$95:$L$95</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E1A1-40C2-BE3D-97C5E4D433B9}"/>
            </c:ext>
          </c:extLst>
        </c:ser>
        <c:ser>
          <c:idx val="1"/>
          <c:order val="1"/>
          <c:tx>
            <c:strRef>
              <c:f>DTE_cost_per_minute_forecast!$B$96</c:f>
              <c:strCache>
                <c:ptCount val="1"/>
                <c:pt idx="0">
                  <c:v>Near Earth Robotic - LEO Science</c:v>
                </c:pt>
              </c:strCache>
            </c:strRef>
          </c:tx>
          <c:spPr>
            <a:solidFill>
              <a:schemeClr val="accent2"/>
            </a:solidFill>
            <a:ln>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DTE_cost_per_minute_forecast!$C$96:$L$96</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E1A1-40C2-BE3D-97C5E4D433B9}"/>
            </c:ext>
          </c:extLst>
        </c:ser>
        <c:ser>
          <c:idx val="2"/>
          <c:order val="2"/>
          <c:tx>
            <c:strRef>
              <c:f>DTE_cost_per_minute_forecast!$B$97</c:f>
              <c:strCache>
                <c:ptCount val="1"/>
                <c:pt idx="0">
                  <c:v>Near Earth Robotic - GEO and Near Earth</c:v>
                </c:pt>
              </c:strCache>
            </c:strRef>
          </c:tx>
          <c:spPr>
            <a:solidFill>
              <a:schemeClr val="accent3"/>
            </a:solidFill>
            <a:ln>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DTE_cost_per_minute_forecast!$C$97:$L$97</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2-E1A1-40C2-BE3D-97C5E4D433B9}"/>
            </c:ext>
          </c:extLst>
        </c:ser>
        <c:ser>
          <c:idx val="3"/>
          <c:order val="3"/>
          <c:tx>
            <c:strRef>
              <c:f>DTE_cost_per_minute_forecast!$B$98</c:f>
              <c:strCache>
                <c:ptCount val="1"/>
                <c:pt idx="0">
                  <c:v>Deep Space Robotic</c:v>
                </c:pt>
              </c:strCache>
            </c:strRef>
          </c:tx>
          <c:spPr>
            <a:solidFill>
              <a:schemeClr val="accent4"/>
            </a:solidFill>
            <a:ln w="25400">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DTE_cost_per_minute_forecast!$C$98:$L$98</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E1A1-40C2-BE3D-97C5E4D433B9}"/>
            </c:ext>
          </c:extLst>
        </c:ser>
        <c:ser>
          <c:idx val="4"/>
          <c:order val="4"/>
          <c:tx>
            <c:strRef>
              <c:f>DTE_cost_per_minute_forecast!$B$99</c:f>
              <c:strCache>
                <c:ptCount val="1"/>
                <c:pt idx="0">
                  <c:v>Near Earth Robotic - Low Latency &amp; Complex Needs</c:v>
                </c:pt>
              </c:strCache>
            </c:strRef>
          </c:tx>
          <c:spPr>
            <a:solidFill>
              <a:schemeClr val="accent5"/>
            </a:solidFill>
            <a:ln w="25400">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DTE_cost_per_minute_forecast!$C$99:$L$99</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E1A1-40C2-BE3D-97C5E4D433B9}"/>
            </c:ext>
          </c:extLst>
        </c:ser>
        <c:ser>
          <c:idx val="5"/>
          <c:order val="5"/>
          <c:tx>
            <c:strRef>
              <c:f>DTE_cost_per_minute_forecast!$B$100</c:f>
              <c:strCache>
                <c:ptCount val="1"/>
                <c:pt idx="0">
                  <c:v>Mission Operations</c:v>
                </c:pt>
              </c:strCache>
            </c:strRef>
          </c:tx>
          <c:spPr>
            <a:solidFill>
              <a:schemeClr val="accent6"/>
            </a:solidFill>
            <a:ln w="25400">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DTE_cost_per_minute_forecast!$C$100:$L$100</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E1A1-40C2-BE3D-97C5E4D433B9}"/>
            </c:ext>
          </c:extLst>
        </c:ser>
        <c:ser>
          <c:idx val="6"/>
          <c:order val="6"/>
          <c:tx>
            <c:strRef>
              <c:f>DTE_cost_per_minute_forecast!$B$101</c:f>
              <c:strCache>
                <c:ptCount val="1"/>
                <c:pt idx="0">
                  <c:v>Launch Events</c:v>
                </c:pt>
              </c:strCache>
            </c:strRef>
          </c:tx>
          <c:spPr>
            <a:solidFill>
              <a:schemeClr val="accent1">
                <a:lumMod val="60000"/>
              </a:schemeClr>
            </a:solidFill>
            <a:ln w="25400">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DTE_cost_per_minute_forecast!$C$101:$L$101</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6-E1A1-40C2-BE3D-97C5E4D433B9}"/>
            </c:ext>
          </c:extLst>
        </c:ser>
        <c:ser>
          <c:idx val="7"/>
          <c:order val="7"/>
          <c:tx>
            <c:strRef>
              <c:f>DTE_cost_per_minute_forecast!$B$102</c:f>
              <c:strCache>
                <c:ptCount val="1"/>
                <c:pt idx="0">
                  <c:v>Terrestrial &amp; Aerial</c:v>
                </c:pt>
              </c:strCache>
            </c:strRef>
          </c:tx>
          <c:spPr>
            <a:solidFill>
              <a:schemeClr val="accent2">
                <a:lumMod val="60000"/>
              </a:schemeClr>
            </a:solidFill>
            <a:ln w="25400">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DTE_cost_per_minute_forecast!$C$102:$L$102</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7-E1A1-40C2-BE3D-97C5E4D433B9}"/>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DTE </a:t>
            </a:r>
            <a:r>
              <a:rPr lang="en-US"/>
              <a:t>Total aggregate cost by scenario </a:t>
            </a:r>
            <a:r>
              <a:rPr lang="en-US" sz="1400" b="0" i="0" u="none" strike="noStrike" baseline="0">
                <a:effectLst/>
              </a:rPr>
              <a:t>(40% profit margin)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DTE_cost_per_minute_forecast!$B$57</c:f>
              <c:strCache>
                <c:ptCount val="1"/>
                <c:pt idx="0">
                  <c:v>Low Demand</c:v>
                </c:pt>
              </c:strCache>
            </c:strRef>
          </c:tx>
          <c:spPr>
            <a:ln w="28575" cap="rnd">
              <a:solidFill>
                <a:schemeClr val="accent1"/>
              </a:solidFill>
              <a:round/>
            </a:ln>
            <a:effectLst/>
          </c:spPr>
          <c:marker>
            <c:symbol val="none"/>
          </c:marke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DTE_cost_per_minute_forecast!$C$67:$L$67</c:f>
              <c:numCache>
                <c:formatCode>_(* #,##0_);_(* \(#,##0\);_(* "-"??_);_(@_)</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0-AEFA-43DD-933F-EB4822BEAAEA}"/>
            </c:ext>
          </c:extLst>
        </c:ser>
        <c:ser>
          <c:idx val="1"/>
          <c:order val="1"/>
          <c:tx>
            <c:strRef>
              <c:f>DTE_cost_per_minute_forecast!$B$75</c:f>
              <c:strCache>
                <c:ptCount val="1"/>
                <c:pt idx="0">
                  <c:v>Baseline Demand</c:v>
                </c:pt>
              </c:strCache>
            </c:strRef>
          </c:tx>
          <c:spPr>
            <a:ln w="28575" cap="rnd">
              <a:solidFill>
                <a:schemeClr val="accent2"/>
              </a:solidFill>
              <a:round/>
            </a:ln>
            <a:effectLst/>
          </c:spPr>
          <c:marker>
            <c:symbol val="none"/>
          </c:marke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DTE_cost_per_minute_forecast!$C$85:$L$85</c:f>
              <c:numCache>
                <c:formatCode>_(* #,##0_);_(* \(#,##0\);_(* "-"??_);_(@_)</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1-AEFA-43DD-933F-EB4822BEAAEA}"/>
            </c:ext>
          </c:extLst>
        </c:ser>
        <c:ser>
          <c:idx val="2"/>
          <c:order val="2"/>
          <c:tx>
            <c:strRef>
              <c:f>DTE_cost_per_minute_forecast!$B$93</c:f>
              <c:strCache>
                <c:ptCount val="1"/>
                <c:pt idx="0">
                  <c:v>High Demand</c:v>
                </c:pt>
              </c:strCache>
            </c:strRef>
          </c:tx>
          <c:spPr>
            <a:ln w="28575" cap="rnd">
              <a:solidFill>
                <a:schemeClr val="accent3"/>
              </a:solidFill>
              <a:round/>
            </a:ln>
            <a:effectLst/>
          </c:spPr>
          <c:marker>
            <c:symbol val="none"/>
          </c:marke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DTE_cost_per_minute_forecast!$C$103:$L$103</c:f>
              <c:numCache>
                <c:formatCode>_(* #,##0_);_(* \(#,##0\);_(* "-"??_);_(@_)</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2-AEFA-43DD-933F-EB4822BEAAEA}"/>
            </c:ext>
          </c:extLst>
        </c:ser>
        <c:dLbls>
          <c:showLegendKey val="0"/>
          <c:showVal val="0"/>
          <c:showCatName val="0"/>
          <c:showSerName val="0"/>
          <c:showPercent val="0"/>
          <c:showBubbleSize val="0"/>
        </c:dLbls>
        <c:smooth val="0"/>
        <c:axId val="377482960"/>
        <c:axId val="377479632"/>
      </c:lineChart>
      <c:catAx>
        <c:axId val="3774829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7479632"/>
        <c:crosses val="autoZero"/>
        <c:auto val="1"/>
        <c:lblAlgn val="ctr"/>
        <c:lblOffset val="100"/>
        <c:noMultiLvlLbl val="0"/>
      </c:catAx>
      <c:valAx>
        <c:axId val="37747963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74829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a:t>Total cost by use case (Low demand scenario) </a:t>
            </a:r>
            <a:r>
              <a:rPr lang="en-US" sz="1200" b="0" i="0" u="none" strike="noStrike" baseline="0">
                <a:effectLst/>
              </a:rPr>
              <a:t>) (60% profit margin) </a:t>
            </a:r>
            <a:endParaRPr lang="en-US" sz="1200"/>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6580466952930259"/>
          <c:y val="0.18126685397946379"/>
          <c:w val="0.80223880721208529"/>
          <c:h val="0.48459830760805012"/>
        </c:manualLayout>
      </c:layout>
      <c:areaChart>
        <c:grouping val="stacked"/>
        <c:varyColors val="0"/>
        <c:ser>
          <c:idx val="0"/>
          <c:order val="0"/>
          <c:tx>
            <c:strRef>
              <c:f>DTE_cost_per_minute_forecast!$B$115</c:f>
              <c:strCache>
                <c:ptCount val="1"/>
                <c:pt idx="0">
                  <c:v>Human Space Flight</c:v>
                </c:pt>
              </c:strCache>
            </c:strRef>
          </c:tx>
          <c:spPr>
            <a:solidFill>
              <a:schemeClr val="accent1"/>
            </a:solidFill>
            <a:ln>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DTE_cost_per_minute_forecast!$C$115:$L$115</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0B15-476B-8048-F73F64A147AD}"/>
            </c:ext>
          </c:extLst>
        </c:ser>
        <c:ser>
          <c:idx val="1"/>
          <c:order val="1"/>
          <c:tx>
            <c:strRef>
              <c:f>DTE_cost_per_minute_forecast!$B$116</c:f>
              <c:strCache>
                <c:ptCount val="1"/>
                <c:pt idx="0">
                  <c:v>Near Earth Robotic - LEO Science</c:v>
                </c:pt>
              </c:strCache>
            </c:strRef>
          </c:tx>
          <c:spPr>
            <a:solidFill>
              <a:schemeClr val="accent2"/>
            </a:solidFill>
            <a:ln>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DTE_cost_per_minute_forecast!$C$116:$L$116</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0B15-476B-8048-F73F64A147AD}"/>
            </c:ext>
          </c:extLst>
        </c:ser>
        <c:ser>
          <c:idx val="2"/>
          <c:order val="2"/>
          <c:tx>
            <c:strRef>
              <c:f>DTE_cost_per_minute_forecast!$B$117</c:f>
              <c:strCache>
                <c:ptCount val="1"/>
                <c:pt idx="0">
                  <c:v>Near Earth Robotic - GEO and Near Earth</c:v>
                </c:pt>
              </c:strCache>
            </c:strRef>
          </c:tx>
          <c:spPr>
            <a:solidFill>
              <a:schemeClr val="accent3"/>
            </a:solidFill>
            <a:ln>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DTE_cost_per_minute_forecast!$C$117:$L$117</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2-0B15-476B-8048-F73F64A147AD}"/>
            </c:ext>
          </c:extLst>
        </c:ser>
        <c:ser>
          <c:idx val="3"/>
          <c:order val="3"/>
          <c:tx>
            <c:strRef>
              <c:f>DTE_cost_per_minute_forecast!$B$118</c:f>
              <c:strCache>
                <c:ptCount val="1"/>
                <c:pt idx="0">
                  <c:v>Deep Space Robotic</c:v>
                </c:pt>
              </c:strCache>
            </c:strRef>
          </c:tx>
          <c:spPr>
            <a:solidFill>
              <a:schemeClr val="accent4"/>
            </a:solidFill>
            <a:ln w="25400">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DTE_cost_per_minute_forecast!$C$118:$L$118</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0B15-476B-8048-F73F64A147AD}"/>
            </c:ext>
          </c:extLst>
        </c:ser>
        <c:ser>
          <c:idx val="4"/>
          <c:order val="4"/>
          <c:tx>
            <c:strRef>
              <c:f>DTE_cost_per_minute_forecast!$B$119</c:f>
              <c:strCache>
                <c:ptCount val="1"/>
                <c:pt idx="0">
                  <c:v>Near Earth Robotic - Low Latency &amp; Complex Needs</c:v>
                </c:pt>
              </c:strCache>
            </c:strRef>
          </c:tx>
          <c:spPr>
            <a:solidFill>
              <a:schemeClr val="accent5"/>
            </a:solidFill>
            <a:ln w="25400">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DTE_cost_per_minute_forecast!$C$119:$L$119</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0B15-476B-8048-F73F64A147AD}"/>
            </c:ext>
          </c:extLst>
        </c:ser>
        <c:ser>
          <c:idx val="5"/>
          <c:order val="5"/>
          <c:tx>
            <c:strRef>
              <c:f>DTE_cost_per_minute_forecast!$B$120</c:f>
              <c:strCache>
                <c:ptCount val="1"/>
                <c:pt idx="0">
                  <c:v>Mission Operations</c:v>
                </c:pt>
              </c:strCache>
            </c:strRef>
          </c:tx>
          <c:spPr>
            <a:solidFill>
              <a:schemeClr val="accent6"/>
            </a:solidFill>
            <a:ln w="25400">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DTE_cost_per_minute_forecast!$C$120:$L$120</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0B15-476B-8048-F73F64A147AD}"/>
            </c:ext>
          </c:extLst>
        </c:ser>
        <c:ser>
          <c:idx val="6"/>
          <c:order val="6"/>
          <c:tx>
            <c:strRef>
              <c:f>DTE_cost_per_minute_forecast!$B$121</c:f>
              <c:strCache>
                <c:ptCount val="1"/>
                <c:pt idx="0">
                  <c:v>Launch Events</c:v>
                </c:pt>
              </c:strCache>
            </c:strRef>
          </c:tx>
          <c:spPr>
            <a:solidFill>
              <a:schemeClr val="accent1">
                <a:lumMod val="60000"/>
              </a:schemeClr>
            </a:solidFill>
            <a:ln w="25400">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DTE_cost_per_minute_forecast!$C$121:$L$121</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6-0B15-476B-8048-F73F64A147AD}"/>
            </c:ext>
          </c:extLst>
        </c:ser>
        <c:ser>
          <c:idx val="7"/>
          <c:order val="7"/>
          <c:tx>
            <c:strRef>
              <c:f>DTE_cost_per_minute_forecast!$B$122</c:f>
              <c:strCache>
                <c:ptCount val="1"/>
                <c:pt idx="0">
                  <c:v>Terrestrial &amp; Aerial</c:v>
                </c:pt>
              </c:strCache>
            </c:strRef>
          </c:tx>
          <c:spPr>
            <a:solidFill>
              <a:schemeClr val="accent2">
                <a:lumMod val="60000"/>
              </a:schemeClr>
            </a:solidFill>
            <a:ln w="25400">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DTE_cost_per_minute_forecast!$C$122:$L$122</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7-0B15-476B-8048-F73F64A147AD}"/>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r"/>
      <c:layout>
        <c:manualLayout>
          <c:xMode val="edge"/>
          <c:yMode val="edge"/>
          <c:x val="4.4387242158854021E-2"/>
          <c:y val="0.77799516251514711"/>
          <c:w val="0.91285533192475909"/>
          <c:h val="0.1898369369539180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b="0" i="0" baseline="0">
                <a:effectLst/>
              </a:rPr>
              <a:t>Total cost by use case (Baseline demand scenario) </a:t>
            </a:r>
            <a:r>
              <a:rPr lang="en-US" sz="1200" b="0" i="0" u="none" strike="noStrike" baseline="0">
                <a:effectLst/>
              </a:rPr>
              <a:t>(60% profit margin)</a:t>
            </a:r>
            <a:endParaRPr lang="en-US" sz="1200">
              <a:effectLst/>
            </a:endParaRP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5591303187231501"/>
          <c:y val="0.14037169986104678"/>
          <c:w val="0.81213044486907282"/>
          <c:h val="0.57779952138335644"/>
        </c:manualLayout>
      </c:layout>
      <c:areaChart>
        <c:grouping val="stacked"/>
        <c:varyColors val="0"/>
        <c:ser>
          <c:idx val="0"/>
          <c:order val="0"/>
          <c:tx>
            <c:strRef>
              <c:f>DTE_cost_per_minute_forecast!$B$133</c:f>
              <c:strCache>
                <c:ptCount val="1"/>
                <c:pt idx="0">
                  <c:v>Human Space Flight</c:v>
                </c:pt>
              </c:strCache>
            </c:strRef>
          </c:tx>
          <c:spPr>
            <a:solidFill>
              <a:schemeClr val="accent1"/>
            </a:solidFill>
            <a:ln>
              <a:noFill/>
            </a:ln>
            <a:effectLst/>
          </c:spPr>
          <c:cat>
            <c:numRef>
              <c:f>DTE_cost_per_minute_forecast!$C$76:$L$76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DTE_cost_per_minute_forecast!$C$133:$L$133</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F26D-4828-842B-671635C6429C}"/>
            </c:ext>
          </c:extLst>
        </c:ser>
        <c:ser>
          <c:idx val="1"/>
          <c:order val="1"/>
          <c:tx>
            <c:strRef>
              <c:f>DTE_cost_per_minute_forecast!$B$134</c:f>
              <c:strCache>
                <c:ptCount val="1"/>
                <c:pt idx="0">
                  <c:v>Near Earth Robotic - LEO Science</c:v>
                </c:pt>
              </c:strCache>
            </c:strRef>
          </c:tx>
          <c:spPr>
            <a:solidFill>
              <a:schemeClr val="accent2"/>
            </a:solidFill>
            <a:ln>
              <a:noFill/>
            </a:ln>
            <a:effectLst/>
          </c:spPr>
          <c:cat>
            <c:numRef>
              <c:f>DTE_cost_per_minute_forecast!$C$76:$L$76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DTE_cost_per_minute_forecast!$C$134:$L$134</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F26D-4828-842B-671635C6429C}"/>
            </c:ext>
          </c:extLst>
        </c:ser>
        <c:ser>
          <c:idx val="2"/>
          <c:order val="2"/>
          <c:tx>
            <c:strRef>
              <c:f>DTE_cost_per_minute_forecast!$B$135</c:f>
              <c:strCache>
                <c:ptCount val="1"/>
                <c:pt idx="0">
                  <c:v>Near Earth Robotic - GEO and Near Earth</c:v>
                </c:pt>
              </c:strCache>
            </c:strRef>
          </c:tx>
          <c:spPr>
            <a:solidFill>
              <a:schemeClr val="accent3"/>
            </a:solidFill>
            <a:ln>
              <a:noFill/>
            </a:ln>
            <a:effectLst/>
          </c:spPr>
          <c:cat>
            <c:numRef>
              <c:f>DTE_cost_per_minute_forecast!$C$76:$L$76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DTE_cost_per_minute_forecast!$C$135:$L$135</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2-F26D-4828-842B-671635C6429C}"/>
            </c:ext>
          </c:extLst>
        </c:ser>
        <c:ser>
          <c:idx val="3"/>
          <c:order val="3"/>
          <c:tx>
            <c:strRef>
              <c:f>DTE_cost_per_minute_forecast!$B$136</c:f>
              <c:strCache>
                <c:ptCount val="1"/>
                <c:pt idx="0">
                  <c:v>Deep Space Robotic</c:v>
                </c:pt>
              </c:strCache>
            </c:strRef>
          </c:tx>
          <c:spPr>
            <a:solidFill>
              <a:schemeClr val="accent4"/>
            </a:solidFill>
            <a:ln w="25400">
              <a:noFill/>
            </a:ln>
            <a:effectLst/>
          </c:spPr>
          <c:cat>
            <c:numRef>
              <c:f>DTE_cost_per_minute_forecast!$C$76:$L$76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DTE_cost_per_minute_forecast!$C$136:$L$136</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F26D-4828-842B-671635C6429C}"/>
            </c:ext>
          </c:extLst>
        </c:ser>
        <c:ser>
          <c:idx val="4"/>
          <c:order val="4"/>
          <c:tx>
            <c:strRef>
              <c:f>DTE_cost_per_minute_forecast!$B$137</c:f>
              <c:strCache>
                <c:ptCount val="1"/>
                <c:pt idx="0">
                  <c:v>Near Earth Robotic - Low Latency &amp; Complex Needs</c:v>
                </c:pt>
              </c:strCache>
            </c:strRef>
          </c:tx>
          <c:spPr>
            <a:solidFill>
              <a:schemeClr val="accent5"/>
            </a:solidFill>
            <a:ln w="25400">
              <a:noFill/>
            </a:ln>
            <a:effectLst/>
          </c:spPr>
          <c:cat>
            <c:numRef>
              <c:f>DTE_cost_per_minute_forecast!$C$76:$L$76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DTE_cost_per_minute_forecast!$C$137:$L$137</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F26D-4828-842B-671635C6429C}"/>
            </c:ext>
          </c:extLst>
        </c:ser>
        <c:ser>
          <c:idx val="5"/>
          <c:order val="5"/>
          <c:tx>
            <c:strRef>
              <c:f>DTE_cost_per_minute_forecast!$B$138</c:f>
              <c:strCache>
                <c:ptCount val="1"/>
                <c:pt idx="0">
                  <c:v>Mission Operations</c:v>
                </c:pt>
              </c:strCache>
            </c:strRef>
          </c:tx>
          <c:spPr>
            <a:solidFill>
              <a:schemeClr val="accent6"/>
            </a:solidFill>
            <a:ln w="25400">
              <a:noFill/>
            </a:ln>
            <a:effectLst/>
          </c:spPr>
          <c:cat>
            <c:numRef>
              <c:f>DTE_cost_per_minute_forecast!$C$76:$L$76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DTE_cost_per_minute_forecast!$C$138:$L$138</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F26D-4828-842B-671635C6429C}"/>
            </c:ext>
          </c:extLst>
        </c:ser>
        <c:ser>
          <c:idx val="6"/>
          <c:order val="6"/>
          <c:tx>
            <c:strRef>
              <c:f>DTE_cost_per_minute_forecast!$B$139</c:f>
              <c:strCache>
                <c:ptCount val="1"/>
                <c:pt idx="0">
                  <c:v>Launch Events</c:v>
                </c:pt>
              </c:strCache>
            </c:strRef>
          </c:tx>
          <c:spPr>
            <a:solidFill>
              <a:schemeClr val="accent1">
                <a:lumMod val="60000"/>
              </a:schemeClr>
            </a:solidFill>
            <a:ln w="25400">
              <a:noFill/>
            </a:ln>
            <a:effectLst/>
          </c:spPr>
          <c:cat>
            <c:numRef>
              <c:f>DTE_cost_per_minute_forecast!$C$76:$L$76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DTE_cost_per_minute_forecast!$C$139:$L$139</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6-F26D-4828-842B-671635C6429C}"/>
            </c:ext>
          </c:extLst>
        </c:ser>
        <c:ser>
          <c:idx val="7"/>
          <c:order val="7"/>
          <c:tx>
            <c:strRef>
              <c:f>DTE_cost_per_minute_forecast!$B$140</c:f>
              <c:strCache>
                <c:ptCount val="1"/>
                <c:pt idx="0">
                  <c:v>Terrestrial &amp; Aerial</c:v>
                </c:pt>
              </c:strCache>
            </c:strRef>
          </c:tx>
          <c:spPr>
            <a:solidFill>
              <a:schemeClr val="accent2">
                <a:lumMod val="60000"/>
              </a:schemeClr>
            </a:solidFill>
            <a:ln w="25400">
              <a:noFill/>
            </a:ln>
            <a:effectLst/>
          </c:spPr>
          <c:cat>
            <c:numRef>
              <c:f>DTE_cost_per_minute_forecast!$C$76:$L$76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DTE_cost_per_minute_forecast!$C$140:$L$140</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7-F26D-4828-842B-671635C6429C}"/>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b="0" i="0" baseline="0">
                <a:effectLst/>
              </a:rPr>
              <a:t>Total cost by use case (High demand scenario) </a:t>
            </a:r>
            <a:r>
              <a:rPr lang="en-US" sz="1200" b="0" i="0" u="none" strike="noStrike" baseline="0">
                <a:effectLst/>
              </a:rPr>
              <a:t>(60% profit margin)</a:t>
            </a:r>
            <a:endParaRPr lang="en-US" sz="1200">
              <a:effectLst/>
            </a:endParaRP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6648066522503069"/>
          <c:y val="0.13755100539470003"/>
          <c:w val="0.80156281151635722"/>
          <c:h val="0.56663816329744165"/>
        </c:manualLayout>
      </c:layout>
      <c:areaChart>
        <c:grouping val="stacked"/>
        <c:varyColors val="0"/>
        <c:ser>
          <c:idx val="0"/>
          <c:order val="0"/>
          <c:tx>
            <c:strRef>
              <c:f>DTE_cost_per_minute_forecast!$B$151</c:f>
              <c:strCache>
                <c:ptCount val="1"/>
                <c:pt idx="0">
                  <c:v>Human Space Flight</c:v>
                </c:pt>
              </c:strCache>
            </c:strRef>
          </c:tx>
          <c:spPr>
            <a:solidFill>
              <a:schemeClr val="accent1"/>
            </a:solidFill>
            <a:ln>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DTE_cost_per_minute_forecast!$C$151:$L$151</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4ED4-4BD7-B885-4399B7DE745E}"/>
            </c:ext>
          </c:extLst>
        </c:ser>
        <c:ser>
          <c:idx val="1"/>
          <c:order val="1"/>
          <c:tx>
            <c:strRef>
              <c:f>DTE_cost_per_minute_forecast!$B$152</c:f>
              <c:strCache>
                <c:ptCount val="1"/>
                <c:pt idx="0">
                  <c:v>Near Earth Robotic - LEO Science</c:v>
                </c:pt>
              </c:strCache>
            </c:strRef>
          </c:tx>
          <c:spPr>
            <a:solidFill>
              <a:schemeClr val="accent2"/>
            </a:solidFill>
            <a:ln>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DTE_cost_per_minute_forecast!$C$152:$L$152</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4ED4-4BD7-B885-4399B7DE745E}"/>
            </c:ext>
          </c:extLst>
        </c:ser>
        <c:ser>
          <c:idx val="2"/>
          <c:order val="2"/>
          <c:tx>
            <c:strRef>
              <c:f>DTE_cost_per_minute_forecast!$B$153</c:f>
              <c:strCache>
                <c:ptCount val="1"/>
                <c:pt idx="0">
                  <c:v>Near Earth Robotic - GEO and Near Earth</c:v>
                </c:pt>
              </c:strCache>
            </c:strRef>
          </c:tx>
          <c:spPr>
            <a:solidFill>
              <a:schemeClr val="accent3"/>
            </a:solidFill>
            <a:ln>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DTE_cost_per_minute_forecast!$C$153:$L$153</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2-4ED4-4BD7-B885-4399B7DE745E}"/>
            </c:ext>
          </c:extLst>
        </c:ser>
        <c:ser>
          <c:idx val="3"/>
          <c:order val="3"/>
          <c:tx>
            <c:strRef>
              <c:f>DTE_cost_per_minute_forecast!$B$154</c:f>
              <c:strCache>
                <c:ptCount val="1"/>
                <c:pt idx="0">
                  <c:v>Deep Space Robotic</c:v>
                </c:pt>
              </c:strCache>
            </c:strRef>
          </c:tx>
          <c:spPr>
            <a:solidFill>
              <a:schemeClr val="accent4"/>
            </a:solidFill>
            <a:ln w="25400">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DTE_cost_per_minute_forecast!$C$154:$L$154</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4ED4-4BD7-B885-4399B7DE745E}"/>
            </c:ext>
          </c:extLst>
        </c:ser>
        <c:ser>
          <c:idx val="4"/>
          <c:order val="4"/>
          <c:tx>
            <c:strRef>
              <c:f>DTE_cost_per_minute_forecast!$B$155</c:f>
              <c:strCache>
                <c:ptCount val="1"/>
                <c:pt idx="0">
                  <c:v>Near Earth Robotic - Low Latency &amp; Complex Needs</c:v>
                </c:pt>
              </c:strCache>
            </c:strRef>
          </c:tx>
          <c:spPr>
            <a:solidFill>
              <a:schemeClr val="accent5"/>
            </a:solidFill>
            <a:ln w="25400">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DTE_cost_per_minute_forecast!$C$155:$L$155</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4ED4-4BD7-B885-4399B7DE745E}"/>
            </c:ext>
          </c:extLst>
        </c:ser>
        <c:ser>
          <c:idx val="5"/>
          <c:order val="5"/>
          <c:tx>
            <c:strRef>
              <c:f>DTE_cost_per_minute_forecast!$B$156</c:f>
              <c:strCache>
                <c:ptCount val="1"/>
                <c:pt idx="0">
                  <c:v>Mission Operations</c:v>
                </c:pt>
              </c:strCache>
            </c:strRef>
          </c:tx>
          <c:spPr>
            <a:solidFill>
              <a:schemeClr val="accent6"/>
            </a:solidFill>
            <a:ln w="25400">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DTE_cost_per_minute_forecast!$C$156:$L$156</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4ED4-4BD7-B885-4399B7DE745E}"/>
            </c:ext>
          </c:extLst>
        </c:ser>
        <c:ser>
          <c:idx val="6"/>
          <c:order val="6"/>
          <c:tx>
            <c:strRef>
              <c:f>DTE_cost_per_minute_forecast!$B$157</c:f>
              <c:strCache>
                <c:ptCount val="1"/>
                <c:pt idx="0">
                  <c:v>Launch Events</c:v>
                </c:pt>
              </c:strCache>
            </c:strRef>
          </c:tx>
          <c:spPr>
            <a:solidFill>
              <a:schemeClr val="accent1">
                <a:lumMod val="60000"/>
              </a:schemeClr>
            </a:solidFill>
            <a:ln w="25400">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DTE_cost_per_minute_forecast!$C$157:$L$157</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6-4ED4-4BD7-B885-4399B7DE745E}"/>
            </c:ext>
          </c:extLst>
        </c:ser>
        <c:ser>
          <c:idx val="7"/>
          <c:order val="7"/>
          <c:tx>
            <c:strRef>
              <c:f>DTE_cost_per_minute_forecast!$B$158</c:f>
              <c:strCache>
                <c:ptCount val="1"/>
                <c:pt idx="0">
                  <c:v>Terrestrial &amp; Aerial</c:v>
                </c:pt>
              </c:strCache>
            </c:strRef>
          </c:tx>
          <c:spPr>
            <a:solidFill>
              <a:schemeClr val="accent2">
                <a:lumMod val="60000"/>
              </a:schemeClr>
            </a:solidFill>
            <a:ln w="25400">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DTE_cost_per_minute_forecast!$C$158:$L$158</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7-4ED4-4BD7-B885-4399B7DE745E}"/>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a:t>Total cost by use case (Low demand scenario) </a:t>
            </a:r>
            <a:r>
              <a:rPr lang="en-US" sz="1200" b="0" i="0" u="none" strike="noStrike" baseline="0">
                <a:effectLst/>
              </a:rPr>
              <a:t>(80% profit margin)</a:t>
            </a:r>
            <a:endParaRPr lang="en-US" sz="1200"/>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6580466952930259"/>
          <c:y val="0.18126685397946379"/>
          <c:w val="0.80223880721208529"/>
          <c:h val="0.48459830760805012"/>
        </c:manualLayout>
      </c:layout>
      <c:areaChart>
        <c:grouping val="stacked"/>
        <c:varyColors val="0"/>
        <c:ser>
          <c:idx val="0"/>
          <c:order val="0"/>
          <c:tx>
            <c:strRef>
              <c:f>DTE_cost_per_minute_forecast!$B$171</c:f>
              <c:strCache>
                <c:ptCount val="1"/>
                <c:pt idx="0">
                  <c:v>Human Space Flight</c:v>
                </c:pt>
              </c:strCache>
            </c:strRef>
          </c:tx>
          <c:spPr>
            <a:solidFill>
              <a:schemeClr val="accent1"/>
            </a:solidFill>
            <a:ln>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DTE_cost_per_minute_forecast!$C$171:$L$171</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4D27-4EAF-94B0-6B9725C1B277}"/>
            </c:ext>
          </c:extLst>
        </c:ser>
        <c:ser>
          <c:idx val="1"/>
          <c:order val="1"/>
          <c:tx>
            <c:strRef>
              <c:f>DTE_cost_per_minute_forecast!$B$172</c:f>
              <c:strCache>
                <c:ptCount val="1"/>
                <c:pt idx="0">
                  <c:v>Near Earth Robotic - LEO Science</c:v>
                </c:pt>
              </c:strCache>
            </c:strRef>
          </c:tx>
          <c:spPr>
            <a:solidFill>
              <a:schemeClr val="accent2"/>
            </a:solidFill>
            <a:ln>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DTE_cost_per_minute_forecast!$C$172:$L$172</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4D27-4EAF-94B0-6B9725C1B277}"/>
            </c:ext>
          </c:extLst>
        </c:ser>
        <c:ser>
          <c:idx val="2"/>
          <c:order val="2"/>
          <c:tx>
            <c:strRef>
              <c:f>DTE_cost_per_minute_forecast!$B$173</c:f>
              <c:strCache>
                <c:ptCount val="1"/>
                <c:pt idx="0">
                  <c:v>Near Earth Robotic - GEO and Near Earth</c:v>
                </c:pt>
              </c:strCache>
            </c:strRef>
          </c:tx>
          <c:spPr>
            <a:solidFill>
              <a:schemeClr val="accent3"/>
            </a:solidFill>
            <a:ln>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DTE_cost_per_minute_forecast!$C$173:$L$173</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2-4D27-4EAF-94B0-6B9725C1B277}"/>
            </c:ext>
          </c:extLst>
        </c:ser>
        <c:ser>
          <c:idx val="3"/>
          <c:order val="3"/>
          <c:tx>
            <c:strRef>
              <c:f>DTE_cost_per_minute_forecast!$B$174</c:f>
              <c:strCache>
                <c:ptCount val="1"/>
                <c:pt idx="0">
                  <c:v>Deep Space Robotic</c:v>
                </c:pt>
              </c:strCache>
            </c:strRef>
          </c:tx>
          <c:spPr>
            <a:solidFill>
              <a:schemeClr val="accent4"/>
            </a:solidFill>
            <a:ln w="25400">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DTE_cost_per_minute_forecast!$C$174:$L$174</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4D27-4EAF-94B0-6B9725C1B277}"/>
            </c:ext>
          </c:extLst>
        </c:ser>
        <c:ser>
          <c:idx val="4"/>
          <c:order val="4"/>
          <c:tx>
            <c:strRef>
              <c:f>DTE_cost_per_minute_forecast!$B$175</c:f>
              <c:strCache>
                <c:ptCount val="1"/>
                <c:pt idx="0">
                  <c:v>Near Earth Robotic - Low Latency &amp; Complex Needs</c:v>
                </c:pt>
              </c:strCache>
            </c:strRef>
          </c:tx>
          <c:spPr>
            <a:solidFill>
              <a:schemeClr val="accent5"/>
            </a:solidFill>
            <a:ln w="25400">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DTE_cost_per_minute_forecast!$C$175:$L$175</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4D27-4EAF-94B0-6B9725C1B277}"/>
            </c:ext>
          </c:extLst>
        </c:ser>
        <c:ser>
          <c:idx val="5"/>
          <c:order val="5"/>
          <c:tx>
            <c:strRef>
              <c:f>DTE_cost_per_minute_forecast!$B$176</c:f>
              <c:strCache>
                <c:ptCount val="1"/>
                <c:pt idx="0">
                  <c:v>Mission Operations</c:v>
                </c:pt>
              </c:strCache>
            </c:strRef>
          </c:tx>
          <c:spPr>
            <a:solidFill>
              <a:schemeClr val="accent6"/>
            </a:solidFill>
            <a:ln w="25400">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DTE_cost_per_minute_forecast!$C$176:$L$176</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4D27-4EAF-94B0-6B9725C1B277}"/>
            </c:ext>
          </c:extLst>
        </c:ser>
        <c:ser>
          <c:idx val="6"/>
          <c:order val="6"/>
          <c:tx>
            <c:strRef>
              <c:f>DTE_cost_per_minute_forecast!$B$177</c:f>
              <c:strCache>
                <c:ptCount val="1"/>
                <c:pt idx="0">
                  <c:v>Launch Events</c:v>
                </c:pt>
              </c:strCache>
            </c:strRef>
          </c:tx>
          <c:spPr>
            <a:solidFill>
              <a:schemeClr val="accent1">
                <a:lumMod val="60000"/>
              </a:schemeClr>
            </a:solidFill>
            <a:ln w="25400">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DTE_cost_per_minute_forecast!$C$177:$L$177</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6-4D27-4EAF-94B0-6B9725C1B277}"/>
            </c:ext>
          </c:extLst>
        </c:ser>
        <c:ser>
          <c:idx val="7"/>
          <c:order val="7"/>
          <c:tx>
            <c:strRef>
              <c:f>DTE_cost_per_minute_forecast!$B$178</c:f>
              <c:strCache>
                <c:ptCount val="1"/>
                <c:pt idx="0">
                  <c:v>Terrestrial &amp; Aerial</c:v>
                </c:pt>
              </c:strCache>
            </c:strRef>
          </c:tx>
          <c:spPr>
            <a:solidFill>
              <a:schemeClr val="accent2">
                <a:lumMod val="60000"/>
              </a:schemeClr>
            </a:solidFill>
            <a:ln w="25400">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DTE_cost_per_minute_forecast!$C$178:$L$178</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7-4D27-4EAF-94B0-6B9725C1B277}"/>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r"/>
      <c:layout>
        <c:manualLayout>
          <c:xMode val="edge"/>
          <c:yMode val="edge"/>
          <c:x val="4.4387242158854021E-2"/>
          <c:y val="0.77799516251514711"/>
          <c:w val="0.91285533192475909"/>
          <c:h val="0.1898369369539180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b="0" i="0" baseline="0">
                <a:effectLst/>
              </a:rPr>
              <a:t>Total cost by use case (Baseline demand scenario) </a:t>
            </a:r>
            <a:r>
              <a:rPr lang="en-US" sz="1200" b="0" i="0" u="none" strike="noStrike" baseline="0">
                <a:effectLst/>
              </a:rPr>
              <a:t>(80% profit margin)</a:t>
            </a:r>
            <a:endParaRPr lang="en-US" sz="1200">
              <a:effectLst/>
            </a:endParaRP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5591303187231501"/>
          <c:y val="0.14037169986104678"/>
          <c:w val="0.81213044486907282"/>
          <c:h val="0.57779952138335644"/>
        </c:manualLayout>
      </c:layout>
      <c:areaChart>
        <c:grouping val="stacked"/>
        <c:varyColors val="0"/>
        <c:ser>
          <c:idx val="0"/>
          <c:order val="0"/>
          <c:tx>
            <c:strRef>
              <c:f>DTE_cost_per_minute_forecast!$B$189</c:f>
              <c:strCache>
                <c:ptCount val="1"/>
                <c:pt idx="0">
                  <c:v>Human Space Flight</c:v>
                </c:pt>
              </c:strCache>
            </c:strRef>
          </c:tx>
          <c:spPr>
            <a:solidFill>
              <a:schemeClr val="accent1"/>
            </a:solidFill>
            <a:ln>
              <a:noFill/>
            </a:ln>
            <a:effectLst/>
          </c:spPr>
          <c:cat>
            <c:numRef>
              <c:f>DTE_cost_per_minute_forecast!$D$76:$M$76</c:f>
              <c:numCache>
                <c:formatCode>General</c:formatCode>
                <c:ptCount val="10"/>
                <c:pt idx="0">
                  <c:v>2022</c:v>
                </c:pt>
                <c:pt idx="1">
                  <c:v>2023</c:v>
                </c:pt>
                <c:pt idx="2">
                  <c:v>2024</c:v>
                </c:pt>
                <c:pt idx="3">
                  <c:v>2025</c:v>
                </c:pt>
                <c:pt idx="4">
                  <c:v>2026</c:v>
                </c:pt>
                <c:pt idx="5">
                  <c:v>2027</c:v>
                </c:pt>
                <c:pt idx="6">
                  <c:v>2028</c:v>
                </c:pt>
                <c:pt idx="7">
                  <c:v>2029</c:v>
                </c:pt>
                <c:pt idx="8">
                  <c:v>2030</c:v>
                </c:pt>
                <c:pt idx="9">
                  <c:v>2031</c:v>
                </c:pt>
              </c:numCache>
            </c:numRef>
          </c:cat>
          <c:val>
            <c:numRef>
              <c:f>DTE_cost_per_minute_forecast!$D$189:$M$189</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7979-45A9-B241-6CA184891EB5}"/>
            </c:ext>
          </c:extLst>
        </c:ser>
        <c:ser>
          <c:idx val="1"/>
          <c:order val="1"/>
          <c:tx>
            <c:strRef>
              <c:f>DTE_cost_per_minute_forecast!$B$190</c:f>
              <c:strCache>
                <c:ptCount val="1"/>
                <c:pt idx="0">
                  <c:v>Near Earth Robotic - LEO Science</c:v>
                </c:pt>
              </c:strCache>
            </c:strRef>
          </c:tx>
          <c:spPr>
            <a:solidFill>
              <a:schemeClr val="accent2"/>
            </a:solidFill>
            <a:ln>
              <a:noFill/>
            </a:ln>
            <a:effectLst/>
          </c:spPr>
          <c:cat>
            <c:numRef>
              <c:f>DTE_cost_per_minute_forecast!$D$76:$M$76</c:f>
              <c:numCache>
                <c:formatCode>General</c:formatCode>
                <c:ptCount val="10"/>
                <c:pt idx="0">
                  <c:v>2022</c:v>
                </c:pt>
                <c:pt idx="1">
                  <c:v>2023</c:v>
                </c:pt>
                <c:pt idx="2">
                  <c:v>2024</c:v>
                </c:pt>
                <c:pt idx="3">
                  <c:v>2025</c:v>
                </c:pt>
                <c:pt idx="4">
                  <c:v>2026</c:v>
                </c:pt>
                <c:pt idx="5">
                  <c:v>2027</c:v>
                </c:pt>
                <c:pt idx="6">
                  <c:v>2028</c:v>
                </c:pt>
                <c:pt idx="7">
                  <c:v>2029</c:v>
                </c:pt>
                <c:pt idx="8">
                  <c:v>2030</c:v>
                </c:pt>
                <c:pt idx="9">
                  <c:v>2031</c:v>
                </c:pt>
              </c:numCache>
            </c:numRef>
          </c:cat>
          <c:val>
            <c:numRef>
              <c:f>DTE_cost_per_minute_forecast!$D$190:$M$190</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7979-45A9-B241-6CA184891EB5}"/>
            </c:ext>
          </c:extLst>
        </c:ser>
        <c:ser>
          <c:idx val="2"/>
          <c:order val="2"/>
          <c:tx>
            <c:strRef>
              <c:f>DTE_cost_per_minute_forecast!$B$191</c:f>
              <c:strCache>
                <c:ptCount val="1"/>
                <c:pt idx="0">
                  <c:v>Near Earth Robotic - GEO and Near Earth</c:v>
                </c:pt>
              </c:strCache>
            </c:strRef>
          </c:tx>
          <c:spPr>
            <a:solidFill>
              <a:schemeClr val="accent3"/>
            </a:solidFill>
            <a:ln>
              <a:noFill/>
            </a:ln>
            <a:effectLst/>
          </c:spPr>
          <c:cat>
            <c:numRef>
              <c:f>DTE_cost_per_minute_forecast!$D$76:$M$76</c:f>
              <c:numCache>
                <c:formatCode>General</c:formatCode>
                <c:ptCount val="10"/>
                <c:pt idx="0">
                  <c:v>2022</c:v>
                </c:pt>
                <c:pt idx="1">
                  <c:v>2023</c:v>
                </c:pt>
                <c:pt idx="2">
                  <c:v>2024</c:v>
                </c:pt>
                <c:pt idx="3">
                  <c:v>2025</c:v>
                </c:pt>
                <c:pt idx="4">
                  <c:v>2026</c:v>
                </c:pt>
                <c:pt idx="5">
                  <c:v>2027</c:v>
                </c:pt>
                <c:pt idx="6">
                  <c:v>2028</c:v>
                </c:pt>
                <c:pt idx="7">
                  <c:v>2029</c:v>
                </c:pt>
                <c:pt idx="8">
                  <c:v>2030</c:v>
                </c:pt>
                <c:pt idx="9">
                  <c:v>2031</c:v>
                </c:pt>
              </c:numCache>
            </c:numRef>
          </c:cat>
          <c:val>
            <c:numRef>
              <c:f>DTE_cost_per_minute_forecast!$D$191:$M$191</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2-7979-45A9-B241-6CA184891EB5}"/>
            </c:ext>
          </c:extLst>
        </c:ser>
        <c:ser>
          <c:idx val="3"/>
          <c:order val="3"/>
          <c:tx>
            <c:strRef>
              <c:f>DTE_cost_per_minute_forecast!$B$192</c:f>
              <c:strCache>
                <c:ptCount val="1"/>
                <c:pt idx="0">
                  <c:v>Deep Space Robotic</c:v>
                </c:pt>
              </c:strCache>
            </c:strRef>
          </c:tx>
          <c:spPr>
            <a:solidFill>
              <a:schemeClr val="accent4"/>
            </a:solidFill>
            <a:ln w="25400">
              <a:noFill/>
            </a:ln>
            <a:effectLst/>
          </c:spPr>
          <c:cat>
            <c:numRef>
              <c:f>DTE_cost_per_minute_forecast!$D$76:$M$76</c:f>
              <c:numCache>
                <c:formatCode>General</c:formatCode>
                <c:ptCount val="10"/>
                <c:pt idx="0">
                  <c:v>2022</c:v>
                </c:pt>
                <c:pt idx="1">
                  <c:v>2023</c:v>
                </c:pt>
                <c:pt idx="2">
                  <c:v>2024</c:v>
                </c:pt>
                <c:pt idx="3">
                  <c:v>2025</c:v>
                </c:pt>
                <c:pt idx="4">
                  <c:v>2026</c:v>
                </c:pt>
                <c:pt idx="5">
                  <c:v>2027</c:v>
                </c:pt>
                <c:pt idx="6">
                  <c:v>2028</c:v>
                </c:pt>
                <c:pt idx="7">
                  <c:v>2029</c:v>
                </c:pt>
                <c:pt idx="8">
                  <c:v>2030</c:v>
                </c:pt>
                <c:pt idx="9">
                  <c:v>2031</c:v>
                </c:pt>
              </c:numCache>
            </c:numRef>
          </c:cat>
          <c:val>
            <c:numRef>
              <c:f>DTE_cost_per_minute_forecast!$D$192:$M$192</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7979-45A9-B241-6CA184891EB5}"/>
            </c:ext>
          </c:extLst>
        </c:ser>
        <c:ser>
          <c:idx val="4"/>
          <c:order val="4"/>
          <c:tx>
            <c:strRef>
              <c:f>DTE_cost_per_minute_forecast!$B$193</c:f>
              <c:strCache>
                <c:ptCount val="1"/>
                <c:pt idx="0">
                  <c:v>Near Earth Robotic - Low Latency &amp; Complex Needs</c:v>
                </c:pt>
              </c:strCache>
            </c:strRef>
          </c:tx>
          <c:spPr>
            <a:solidFill>
              <a:schemeClr val="accent5"/>
            </a:solidFill>
            <a:ln w="25400">
              <a:noFill/>
            </a:ln>
            <a:effectLst/>
          </c:spPr>
          <c:cat>
            <c:numRef>
              <c:f>DTE_cost_per_minute_forecast!$D$76:$M$76</c:f>
              <c:numCache>
                <c:formatCode>General</c:formatCode>
                <c:ptCount val="10"/>
                <c:pt idx="0">
                  <c:v>2022</c:v>
                </c:pt>
                <c:pt idx="1">
                  <c:v>2023</c:v>
                </c:pt>
                <c:pt idx="2">
                  <c:v>2024</c:v>
                </c:pt>
                <c:pt idx="3">
                  <c:v>2025</c:v>
                </c:pt>
                <c:pt idx="4">
                  <c:v>2026</c:v>
                </c:pt>
                <c:pt idx="5">
                  <c:v>2027</c:v>
                </c:pt>
                <c:pt idx="6">
                  <c:v>2028</c:v>
                </c:pt>
                <c:pt idx="7">
                  <c:v>2029</c:v>
                </c:pt>
                <c:pt idx="8">
                  <c:v>2030</c:v>
                </c:pt>
                <c:pt idx="9">
                  <c:v>2031</c:v>
                </c:pt>
              </c:numCache>
            </c:numRef>
          </c:cat>
          <c:val>
            <c:numRef>
              <c:f>DTE_cost_per_minute_forecast!$D$193:$M$193</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7979-45A9-B241-6CA184891EB5}"/>
            </c:ext>
          </c:extLst>
        </c:ser>
        <c:ser>
          <c:idx val="5"/>
          <c:order val="5"/>
          <c:tx>
            <c:strRef>
              <c:f>DTE_cost_per_minute_forecast!$B$194</c:f>
              <c:strCache>
                <c:ptCount val="1"/>
                <c:pt idx="0">
                  <c:v>Mission Operations</c:v>
                </c:pt>
              </c:strCache>
            </c:strRef>
          </c:tx>
          <c:spPr>
            <a:solidFill>
              <a:schemeClr val="accent6"/>
            </a:solidFill>
            <a:ln w="25400">
              <a:noFill/>
            </a:ln>
            <a:effectLst/>
          </c:spPr>
          <c:cat>
            <c:numRef>
              <c:f>DTE_cost_per_minute_forecast!$D$76:$M$76</c:f>
              <c:numCache>
                <c:formatCode>General</c:formatCode>
                <c:ptCount val="10"/>
                <c:pt idx="0">
                  <c:v>2022</c:v>
                </c:pt>
                <c:pt idx="1">
                  <c:v>2023</c:v>
                </c:pt>
                <c:pt idx="2">
                  <c:v>2024</c:v>
                </c:pt>
                <c:pt idx="3">
                  <c:v>2025</c:v>
                </c:pt>
                <c:pt idx="4">
                  <c:v>2026</c:v>
                </c:pt>
                <c:pt idx="5">
                  <c:v>2027</c:v>
                </c:pt>
                <c:pt idx="6">
                  <c:v>2028</c:v>
                </c:pt>
                <c:pt idx="7">
                  <c:v>2029</c:v>
                </c:pt>
                <c:pt idx="8">
                  <c:v>2030</c:v>
                </c:pt>
                <c:pt idx="9">
                  <c:v>2031</c:v>
                </c:pt>
              </c:numCache>
            </c:numRef>
          </c:cat>
          <c:val>
            <c:numRef>
              <c:f>DTE_cost_per_minute_forecast!$D$194:$M$194</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7979-45A9-B241-6CA184891EB5}"/>
            </c:ext>
          </c:extLst>
        </c:ser>
        <c:ser>
          <c:idx val="6"/>
          <c:order val="6"/>
          <c:tx>
            <c:strRef>
              <c:f>DTE_cost_per_minute_forecast!$B$195</c:f>
              <c:strCache>
                <c:ptCount val="1"/>
                <c:pt idx="0">
                  <c:v>Launch Events</c:v>
                </c:pt>
              </c:strCache>
            </c:strRef>
          </c:tx>
          <c:spPr>
            <a:solidFill>
              <a:schemeClr val="accent1">
                <a:lumMod val="60000"/>
              </a:schemeClr>
            </a:solidFill>
            <a:ln w="25400">
              <a:noFill/>
            </a:ln>
            <a:effectLst/>
          </c:spPr>
          <c:cat>
            <c:numRef>
              <c:f>DTE_cost_per_minute_forecast!$D$76:$M$76</c:f>
              <c:numCache>
                <c:formatCode>General</c:formatCode>
                <c:ptCount val="10"/>
                <c:pt idx="0">
                  <c:v>2022</c:v>
                </c:pt>
                <c:pt idx="1">
                  <c:v>2023</c:v>
                </c:pt>
                <c:pt idx="2">
                  <c:v>2024</c:v>
                </c:pt>
                <c:pt idx="3">
                  <c:v>2025</c:v>
                </c:pt>
                <c:pt idx="4">
                  <c:v>2026</c:v>
                </c:pt>
                <c:pt idx="5">
                  <c:v>2027</c:v>
                </c:pt>
                <c:pt idx="6">
                  <c:v>2028</c:v>
                </c:pt>
                <c:pt idx="7">
                  <c:v>2029</c:v>
                </c:pt>
                <c:pt idx="8">
                  <c:v>2030</c:v>
                </c:pt>
                <c:pt idx="9">
                  <c:v>2031</c:v>
                </c:pt>
              </c:numCache>
            </c:numRef>
          </c:cat>
          <c:val>
            <c:numRef>
              <c:f>DTE_cost_per_minute_forecast!$D$195:$M$195</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6-7979-45A9-B241-6CA184891EB5}"/>
            </c:ext>
          </c:extLst>
        </c:ser>
        <c:ser>
          <c:idx val="7"/>
          <c:order val="7"/>
          <c:tx>
            <c:strRef>
              <c:f>DTE_cost_per_minute_forecast!$B$196</c:f>
              <c:strCache>
                <c:ptCount val="1"/>
                <c:pt idx="0">
                  <c:v>Terrestrial &amp; Aerial</c:v>
                </c:pt>
              </c:strCache>
            </c:strRef>
          </c:tx>
          <c:spPr>
            <a:solidFill>
              <a:schemeClr val="accent2">
                <a:lumMod val="60000"/>
              </a:schemeClr>
            </a:solidFill>
            <a:ln w="25400">
              <a:noFill/>
            </a:ln>
            <a:effectLst/>
          </c:spPr>
          <c:cat>
            <c:numRef>
              <c:f>DTE_cost_per_minute_forecast!$D$76:$M$76</c:f>
              <c:numCache>
                <c:formatCode>General</c:formatCode>
                <c:ptCount val="10"/>
                <c:pt idx="0">
                  <c:v>2022</c:v>
                </c:pt>
                <c:pt idx="1">
                  <c:v>2023</c:v>
                </c:pt>
                <c:pt idx="2">
                  <c:v>2024</c:v>
                </c:pt>
                <c:pt idx="3">
                  <c:v>2025</c:v>
                </c:pt>
                <c:pt idx="4">
                  <c:v>2026</c:v>
                </c:pt>
                <c:pt idx="5">
                  <c:v>2027</c:v>
                </c:pt>
                <c:pt idx="6">
                  <c:v>2028</c:v>
                </c:pt>
                <c:pt idx="7">
                  <c:v>2029</c:v>
                </c:pt>
                <c:pt idx="8">
                  <c:v>2030</c:v>
                </c:pt>
                <c:pt idx="9">
                  <c:v>2031</c:v>
                </c:pt>
              </c:numCache>
            </c:numRef>
          </c:cat>
          <c:val>
            <c:numRef>
              <c:f>DTE_cost_per_minute_forecast!$D$196:$M$196</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7-7979-45A9-B241-6CA184891EB5}"/>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b="0" i="0" baseline="0">
                <a:effectLst/>
              </a:rPr>
              <a:t>Total cost by use case (High demand scenario) </a:t>
            </a:r>
            <a:r>
              <a:rPr lang="en-US" sz="1200" b="0" i="0" u="none" strike="noStrike" baseline="0">
                <a:effectLst/>
              </a:rPr>
              <a:t>(80% profit margin)</a:t>
            </a:r>
            <a:endParaRPr lang="en-US" sz="1200">
              <a:effectLst/>
            </a:endParaRP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6648066522503069"/>
          <c:y val="0.13755100539470003"/>
          <c:w val="0.80156281151635722"/>
          <c:h val="0.56663816329744165"/>
        </c:manualLayout>
      </c:layout>
      <c:areaChart>
        <c:grouping val="stacked"/>
        <c:varyColors val="0"/>
        <c:ser>
          <c:idx val="0"/>
          <c:order val="0"/>
          <c:tx>
            <c:strRef>
              <c:f>DTE_cost_per_minute_forecast!$B$207</c:f>
              <c:strCache>
                <c:ptCount val="1"/>
                <c:pt idx="0">
                  <c:v>Human Space Flight</c:v>
                </c:pt>
              </c:strCache>
            </c:strRef>
          </c:tx>
          <c:spPr>
            <a:solidFill>
              <a:schemeClr val="accent1"/>
            </a:solidFill>
            <a:ln>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DTE_cost_per_minute_forecast!$C$207:$L$207</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9F6A-4411-A2B3-E88275D2E832}"/>
            </c:ext>
          </c:extLst>
        </c:ser>
        <c:ser>
          <c:idx val="1"/>
          <c:order val="1"/>
          <c:tx>
            <c:strRef>
              <c:f>DTE_cost_per_minute_forecast!$B$208</c:f>
              <c:strCache>
                <c:ptCount val="1"/>
                <c:pt idx="0">
                  <c:v>Near Earth Robotic - LEO Science</c:v>
                </c:pt>
              </c:strCache>
            </c:strRef>
          </c:tx>
          <c:spPr>
            <a:solidFill>
              <a:schemeClr val="accent2"/>
            </a:solidFill>
            <a:ln>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DTE_cost_per_minute_forecast!$C$208:$L$208</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9F6A-4411-A2B3-E88275D2E832}"/>
            </c:ext>
          </c:extLst>
        </c:ser>
        <c:ser>
          <c:idx val="2"/>
          <c:order val="2"/>
          <c:tx>
            <c:strRef>
              <c:f>DTE_cost_per_minute_forecast!$B$209</c:f>
              <c:strCache>
                <c:ptCount val="1"/>
                <c:pt idx="0">
                  <c:v>Near Earth Robotic - GEO and Near Earth</c:v>
                </c:pt>
              </c:strCache>
            </c:strRef>
          </c:tx>
          <c:spPr>
            <a:solidFill>
              <a:schemeClr val="accent3"/>
            </a:solidFill>
            <a:ln>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DTE_cost_per_minute_forecast!$C$209:$L$209</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2-9F6A-4411-A2B3-E88275D2E832}"/>
            </c:ext>
          </c:extLst>
        </c:ser>
        <c:ser>
          <c:idx val="3"/>
          <c:order val="3"/>
          <c:tx>
            <c:strRef>
              <c:f>DTE_cost_per_minute_forecast!$B$210</c:f>
              <c:strCache>
                <c:ptCount val="1"/>
                <c:pt idx="0">
                  <c:v>Deep Space Robotic</c:v>
                </c:pt>
              </c:strCache>
            </c:strRef>
          </c:tx>
          <c:spPr>
            <a:solidFill>
              <a:schemeClr val="accent4"/>
            </a:solidFill>
            <a:ln w="25400">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DTE_cost_per_minute_forecast!$C$210:$L$210</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9F6A-4411-A2B3-E88275D2E832}"/>
            </c:ext>
          </c:extLst>
        </c:ser>
        <c:ser>
          <c:idx val="4"/>
          <c:order val="4"/>
          <c:tx>
            <c:strRef>
              <c:f>DTE_cost_per_minute_forecast!$B$211</c:f>
              <c:strCache>
                <c:ptCount val="1"/>
                <c:pt idx="0">
                  <c:v>Near Earth Robotic - Low Latency &amp; Complex Needs</c:v>
                </c:pt>
              </c:strCache>
            </c:strRef>
          </c:tx>
          <c:spPr>
            <a:solidFill>
              <a:schemeClr val="accent5"/>
            </a:solidFill>
            <a:ln w="25400">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DTE_cost_per_minute_forecast!$C$211:$L$211</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9F6A-4411-A2B3-E88275D2E832}"/>
            </c:ext>
          </c:extLst>
        </c:ser>
        <c:ser>
          <c:idx val="5"/>
          <c:order val="5"/>
          <c:tx>
            <c:strRef>
              <c:f>DTE_cost_per_minute_forecast!$B$212</c:f>
              <c:strCache>
                <c:ptCount val="1"/>
                <c:pt idx="0">
                  <c:v>Mission Operations</c:v>
                </c:pt>
              </c:strCache>
            </c:strRef>
          </c:tx>
          <c:spPr>
            <a:solidFill>
              <a:schemeClr val="accent6"/>
            </a:solidFill>
            <a:ln w="25400">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DTE_cost_per_minute_forecast!$C$212:$L$212</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9F6A-4411-A2B3-E88275D2E832}"/>
            </c:ext>
          </c:extLst>
        </c:ser>
        <c:ser>
          <c:idx val="6"/>
          <c:order val="6"/>
          <c:tx>
            <c:strRef>
              <c:f>DTE_cost_per_minute_forecast!$B$213</c:f>
              <c:strCache>
                <c:ptCount val="1"/>
                <c:pt idx="0">
                  <c:v>Launch Events</c:v>
                </c:pt>
              </c:strCache>
            </c:strRef>
          </c:tx>
          <c:spPr>
            <a:solidFill>
              <a:schemeClr val="accent1">
                <a:lumMod val="60000"/>
              </a:schemeClr>
            </a:solidFill>
            <a:ln w="25400">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DTE_cost_per_minute_forecast!$C$213:$L$213</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6-9F6A-4411-A2B3-E88275D2E832}"/>
            </c:ext>
          </c:extLst>
        </c:ser>
        <c:ser>
          <c:idx val="7"/>
          <c:order val="7"/>
          <c:tx>
            <c:strRef>
              <c:f>DTE_cost_per_minute_forecast!$B$214</c:f>
              <c:strCache>
                <c:ptCount val="1"/>
                <c:pt idx="0">
                  <c:v>Terrestrial &amp; Aerial</c:v>
                </c:pt>
              </c:strCache>
            </c:strRef>
          </c:tx>
          <c:spPr>
            <a:solidFill>
              <a:schemeClr val="accent2">
                <a:lumMod val="60000"/>
              </a:schemeClr>
            </a:solidFill>
            <a:ln w="25400">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DTE_cost_per_minute_forecast!$C$214:$L$214</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7-9F6A-4411-A2B3-E88275D2E832}"/>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DTE </a:t>
            </a:r>
            <a:r>
              <a:rPr lang="en-US"/>
              <a:t>Total aggregate cost by scenario </a:t>
            </a:r>
            <a:r>
              <a:rPr lang="en-US" sz="1400" b="0" i="0" u="none" strike="noStrike" baseline="0">
                <a:effectLst/>
              </a:rPr>
              <a:t>(60% profit margin)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DTE_cost_per_minute_forecast!$B$113</c:f>
              <c:strCache>
                <c:ptCount val="1"/>
                <c:pt idx="0">
                  <c:v>Low Demand</c:v>
                </c:pt>
              </c:strCache>
            </c:strRef>
          </c:tx>
          <c:spPr>
            <a:ln w="28575" cap="rnd">
              <a:solidFill>
                <a:schemeClr val="accent1"/>
              </a:solidFill>
              <a:round/>
            </a:ln>
            <a:effectLst/>
          </c:spPr>
          <c:marker>
            <c:symbol val="none"/>
          </c:marker>
          <c:cat>
            <c:numRef>
              <c:f>DTE_cost_per_minute_forecast!$C$132:$L$132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DTE_cost_per_minute_forecast!$C$123:$L$123</c:f>
              <c:numCache>
                <c:formatCode>_(* #,##0_);_(* \(#,##0\);_(* "-"??_);_(@_)</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0-C08A-421E-B9E7-A8AFCFBF60EC}"/>
            </c:ext>
          </c:extLst>
        </c:ser>
        <c:ser>
          <c:idx val="1"/>
          <c:order val="1"/>
          <c:tx>
            <c:strRef>
              <c:f>DTE_cost_per_minute_forecast!$B$131</c:f>
              <c:strCache>
                <c:ptCount val="1"/>
                <c:pt idx="0">
                  <c:v>Baseline Demand</c:v>
                </c:pt>
              </c:strCache>
            </c:strRef>
          </c:tx>
          <c:spPr>
            <a:ln w="28575" cap="rnd">
              <a:solidFill>
                <a:schemeClr val="accent2"/>
              </a:solidFill>
              <a:round/>
            </a:ln>
            <a:effectLst/>
          </c:spPr>
          <c:marker>
            <c:symbol val="none"/>
          </c:marker>
          <c:cat>
            <c:numRef>
              <c:f>DTE_cost_per_minute_forecast!$C$132:$L$132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DTE_cost_per_minute_forecast!$C$141:$L$141</c:f>
              <c:numCache>
                <c:formatCode>_(* #,##0_);_(* \(#,##0\);_(* "-"??_);_(@_)</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1-C08A-421E-B9E7-A8AFCFBF60EC}"/>
            </c:ext>
          </c:extLst>
        </c:ser>
        <c:ser>
          <c:idx val="2"/>
          <c:order val="2"/>
          <c:tx>
            <c:strRef>
              <c:f>DTE_cost_per_minute_forecast!$B$149</c:f>
              <c:strCache>
                <c:ptCount val="1"/>
                <c:pt idx="0">
                  <c:v>High Demand</c:v>
                </c:pt>
              </c:strCache>
            </c:strRef>
          </c:tx>
          <c:spPr>
            <a:ln w="28575" cap="rnd">
              <a:solidFill>
                <a:schemeClr val="accent3"/>
              </a:solidFill>
              <a:round/>
            </a:ln>
            <a:effectLst/>
          </c:spPr>
          <c:marker>
            <c:symbol val="none"/>
          </c:marker>
          <c:cat>
            <c:numRef>
              <c:f>DTE_cost_per_minute_forecast!$C$132:$L$132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DTE_cost_per_minute_forecast!$C$159:$L$159</c:f>
              <c:numCache>
                <c:formatCode>_(* #,##0_);_(* \(#,##0\);_(* "-"??_);_(@_)</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2-C08A-421E-B9E7-A8AFCFBF60EC}"/>
            </c:ext>
          </c:extLst>
        </c:ser>
        <c:dLbls>
          <c:showLegendKey val="0"/>
          <c:showVal val="0"/>
          <c:showCatName val="0"/>
          <c:showSerName val="0"/>
          <c:showPercent val="0"/>
          <c:showBubbleSize val="0"/>
        </c:dLbls>
        <c:smooth val="0"/>
        <c:axId val="377482960"/>
        <c:axId val="377479632"/>
      </c:lineChart>
      <c:catAx>
        <c:axId val="3774829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7479632"/>
        <c:crosses val="autoZero"/>
        <c:auto val="1"/>
        <c:lblAlgn val="ctr"/>
        <c:lblOffset val="100"/>
        <c:noMultiLvlLbl val="0"/>
      </c:catAx>
      <c:valAx>
        <c:axId val="37747963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74829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DTE </a:t>
            </a:r>
            <a:r>
              <a:rPr lang="en-US"/>
              <a:t>Total aggregate cost by scenario </a:t>
            </a:r>
            <a:r>
              <a:rPr lang="en-US" sz="1400" b="0" i="0" u="none" strike="noStrike" baseline="0">
                <a:effectLst/>
              </a:rPr>
              <a:t>(80% profit margin)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DTE_cost_per_minute_forecast!$B$169</c:f>
              <c:strCache>
                <c:ptCount val="1"/>
                <c:pt idx="0">
                  <c:v>Low Demand</c:v>
                </c:pt>
              </c:strCache>
            </c:strRef>
          </c:tx>
          <c:spPr>
            <a:ln w="28575" cap="rnd">
              <a:solidFill>
                <a:schemeClr val="accent1"/>
              </a:solidFill>
              <a:round/>
            </a:ln>
            <a:effectLst/>
          </c:spPr>
          <c:marker>
            <c:symbol val="none"/>
          </c:marker>
          <c:cat>
            <c:numRef>
              <c:f>DTE_cost_per_minute_forecast!$C$170:$L$170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DTE_cost_per_minute_forecast!$C$179:$L$179</c:f>
              <c:numCache>
                <c:formatCode>_(* #,##0_);_(* \(#,##0\);_(* "-"??_);_(@_)</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0-3003-48D8-B15A-AAE03D5BBAB1}"/>
            </c:ext>
          </c:extLst>
        </c:ser>
        <c:ser>
          <c:idx val="1"/>
          <c:order val="1"/>
          <c:tx>
            <c:strRef>
              <c:f>DTE_cost_per_minute_forecast!$B$187</c:f>
              <c:strCache>
                <c:ptCount val="1"/>
                <c:pt idx="0">
                  <c:v>Baseline Demand</c:v>
                </c:pt>
              </c:strCache>
            </c:strRef>
          </c:tx>
          <c:spPr>
            <a:ln w="28575" cap="rnd">
              <a:solidFill>
                <a:schemeClr val="accent2"/>
              </a:solidFill>
              <a:round/>
            </a:ln>
            <a:effectLst/>
          </c:spPr>
          <c:marker>
            <c:symbol val="none"/>
          </c:marker>
          <c:cat>
            <c:numRef>
              <c:f>DTE_cost_per_minute_forecast!$C$170:$L$170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DTE_cost_per_minute_forecast!$C$197:$L$197</c:f>
              <c:numCache>
                <c:formatCode>_(* #,##0_);_(* \(#,##0\);_(* "-"??_);_(@_)</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1-3003-48D8-B15A-AAE03D5BBAB1}"/>
            </c:ext>
          </c:extLst>
        </c:ser>
        <c:ser>
          <c:idx val="2"/>
          <c:order val="2"/>
          <c:tx>
            <c:strRef>
              <c:f>DTE_cost_per_minute_forecast!$B$205</c:f>
              <c:strCache>
                <c:ptCount val="1"/>
                <c:pt idx="0">
                  <c:v>High Demand</c:v>
                </c:pt>
              </c:strCache>
            </c:strRef>
          </c:tx>
          <c:spPr>
            <a:ln w="28575" cap="rnd">
              <a:solidFill>
                <a:schemeClr val="accent3"/>
              </a:solidFill>
              <a:round/>
            </a:ln>
            <a:effectLst/>
          </c:spPr>
          <c:marker>
            <c:symbol val="none"/>
          </c:marker>
          <c:cat>
            <c:numRef>
              <c:f>DTE_cost_per_minute_forecast!$C$170:$L$170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DTE_cost_per_minute_forecast!$C$215:$L$215</c:f>
              <c:numCache>
                <c:formatCode>_(* #,##0_);_(* \(#,##0\);_(* "-"??_);_(@_)</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2-3003-48D8-B15A-AAE03D5BBAB1}"/>
            </c:ext>
          </c:extLst>
        </c:ser>
        <c:dLbls>
          <c:showLegendKey val="0"/>
          <c:showVal val="0"/>
          <c:showCatName val="0"/>
          <c:showSerName val="0"/>
          <c:showPercent val="0"/>
          <c:showBubbleSize val="0"/>
        </c:dLbls>
        <c:smooth val="0"/>
        <c:axId val="377482960"/>
        <c:axId val="377479632"/>
      </c:lineChart>
      <c:catAx>
        <c:axId val="3774829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7479632"/>
        <c:crosses val="autoZero"/>
        <c:auto val="1"/>
        <c:lblAlgn val="ctr"/>
        <c:lblOffset val="100"/>
        <c:noMultiLvlLbl val="0"/>
      </c:catAx>
      <c:valAx>
        <c:axId val="37747963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74829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a:t>Total cost by use case (Low demand scenario) </a:t>
            </a:r>
            <a:r>
              <a:rPr lang="en-US" sz="1200" b="0" i="0" u="none" strike="noStrike" baseline="0">
                <a:effectLst/>
              </a:rPr>
              <a:t>(20% profit margin)</a:t>
            </a:r>
            <a:endParaRPr lang="en-US" sz="1200"/>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6580466952930259"/>
          <c:y val="0.18126685397946379"/>
          <c:w val="0.80223880721208529"/>
          <c:h val="0.48459830760805012"/>
        </c:manualLayout>
      </c:layout>
      <c:areaChart>
        <c:grouping val="stacked"/>
        <c:varyColors val="0"/>
        <c:ser>
          <c:idx val="0"/>
          <c:order val="0"/>
          <c:tx>
            <c:strRef>
              <c:f>SR_cost_per_minute_forecast!$B$3</c:f>
              <c:strCache>
                <c:ptCount val="1"/>
                <c:pt idx="0">
                  <c:v>Human Space Flight</c:v>
                </c:pt>
              </c:strCache>
            </c:strRef>
          </c:tx>
          <c:spPr>
            <a:solidFill>
              <a:schemeClr val="accent1"/>
            </a:solidFill>
            <a:ln>
              <a:noFill/>
            </a:ln>
            <a:effectLst/>
          </c:spPr>
          <c:cat>
            <c:numRef>
              <c:f>SR_cost_per_minute_forecast!$C$2:$L$2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SR_cost_per_minute_forecast!$C$3:$L$3</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78C3-4F50-B8CC-92997E12B376}"/>
            </c:ext>
          </c:extLst>
        </c:ser>
        <c:ser>
          <c:idx val="1"/>
          <c:order val="1"/>
          <c:tx>
            <c:strRef>
              <c:f>SR_cost_per_minute_forecast!$B$4</c:f>
              <c:strCache>
                <c:ptCount val="1"/>
                <c:pt idx="0">
                  <c:v>Near Earth Robotic - LEO Science</c:v>
                </c:pt>
              </c:strCache>
            </c:strRef>
          </c:tx>
          <c:spPr>
            <a:solidFill>
              <a:schemeClr val="accent2"/>
            </a:solidFill>
            <a:ln>
              <a:noFill/>
            </a:ln>
            <a:effectLst/>
          </c:spPr>
          <c:cat>
            <c:numRef>
              <c:f>SR_cost_per_minute_forecast!$C$2:$L$2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SR_cost_per_minute_forecast!$C$4:$L$4</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78C3-4F50-B8CC-92997E12B376}"/>
            </c:ext>
          </c:extLst>
        </c:ser>
        <c:ser>
          <c:idx val="2"/>
          <c:order val="2"/>
          <c:tx>
            <c:strRef>
              <c:f>SR_cost_per_minute_forecast!$B$5</c:f>
              <c:strCache>
                <c:ptCount val="1"/>
                <c:pt idx="0">
                  <c:v>Near Earth Robotic - GEO and Near Earth</c:v>
                </c:pt>
              </c:strCache>
            </c:strRef>
          </c:tx>
          <c:spPr>
            <a:solidFill>
              <a:schemeClr val="accent3"/>
            </a:solidFill>
            <a:ln>
              <a:noFill/>
            </a:ln>
            <a:effectLst/>
          </c:spPr>
          <c:cat>
            <c:numRef>
              <c:f>SR_cost_per_minute_forecast!$C$2:$L$2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SR_cost_per_minute_forecast!$C$5:$L$5</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2-78C3-4F50-B8CC-92997E12B376}"/>
            </c:ext>
          </c:extLst>
        </c:ser>
        <c:ser>
          <c:idx val="3"/>
          <c:order val="3"/>
          <c:tx>
            <c:strRef>
              <c:f>SR_cost_per_minute_forecast!$B$6</c:f>
              <c:strCache>
                <c:ptCount val="1"/>
                <c:pt idx="0">
                  <c:v>Deep Space Robotic</c:v>
                </c:pt>
              </c:strCache>
            </c:strRef>
          </c:tx>
          <c:spPr>
            <a:solidFill>
              <a:schemeClr val="accent4"/>
            </a:solidFill>
            <a:ln w="25400">
              <a:noFill/>
            </a:ln>
            <a:effectLst/>
          </c:spPr>
          <c:cat>
            <c:numRef>
              <c:f>SR_cost_per_minute_forecast!$C$2:$L$2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SR_cost_per_minute_forecast!$C$6:$L$6</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78C3-4F50-B8CC-92997E12B376}"/>
            </c:ext>
          </c:extLst>
        </c:ser>
        <c:ser>
          <c:idx val="4"/>
          <c:order val="4"/>
          <c:tx>
            <c:strRef>
              <c:f>SR_cost_per_minute_forecast!$B$7</c:f>
              <c:strCache>
                <c:ptCount val="1"/>
                <c:pt idx="0">
                  <c:v>Near Earth Robotic - Low Latency &amp; Complex Needs</c:v>
                </c:pt>
              </c:strCache>
            </c:strRef>
          </c:tx>
          <c:spPr>
            <a:solidFill>
              <a:schemeClr val="accent5"/>
            </a:solidFill>
            <a:ln w="25400">
              <a:noFill/>
            </a:ln>
            <a:effectLst/>
          </c:spPr>
          <c:cat>
            <c:numRef>
              <c:f>SR_cost_per_minute_forecast!$C$2:$L$2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SR_cost_per_minute_forecast!$C$7:$L$7</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78C3-4F50-B8CC-92997E12B376}"/>
            </c:ext>
          </c:extLst>
        </c:ser>
        <c:ser>
          <c:idx val="5"/>
          <c:order val="5"/>
          <c:tx>
            <c:strRef>
              <c:f>SR_cost_per_minute_forecast!$B$8</c:f>
              <c:strCache>
                <c:ptCount val="1"/>
                <c:pt idx="0">
                  <c:v>Mission Operations</c:v>
                </c:pt>
              </c:strCache>
            </c:strRef>
          </c:tx>
          <c:spPr>
            <a:solidFill>
              <a:schemeClr val="accent6"/>
            </a:solidFill>
            <a:ln w="25400">
              <a:noFill/>
            </a:ln>
            <a:effectLst/>
          </c:spPr>
          <c:cat>
            <c:numRef>
              <c:f>SR_cost_per_minute_forecast!$C$2:$L$2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SR_cost_per_minute_forecast!$C$8:$L$8</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78C3-4F50-B8CC-92997E12B376}"/>
            </c:ext>
          </c:extLst>
        </c:ser>
        <c:ser>
          <c:idx val="6"/>
          <c:order val="6"/>
          <c:tx>
            <c:strRef>
              <c:f>SR_cost_per_minute_forecast!$B$9</c:f>
              <c:strCache>
                <c:ptCount val="1"/>
                <c:pt idx="0">
                  <c:v>Launch Events</c:v>
                </c:pt>
              </c:strCache>
            </c:strRef>
          </c:tx>
          <c:spPr>
            <a:solidFill>
              <a:schemeClr val="accent1">
                <a:lumMod val="60000"/>
              </a:schemeClr>
            </a:solidFill>
            <a:ln w="25400">
              <a:noFill/>
            </a:ln>
            <a:effectLst/>
          </c:spPr>
          <c:cat>
            <c:numRef>
              <c:f>SR_cost_per_minute_forecast!$C$2:$L$2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SR_cost_per_minute_forecast!$C$9:$L$9</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6-78C3-4F50-B8CC-92997E12B376}"/>
            </c:ext>
          </c:extLst>
        </c:ser>
        <c:ser>
          <c:idx val="7"/>
          <c:order val="7"/>
          <c:tx>
            <c:strRef>
              <c:f>SR_cost_per_minute_forecast!$B$10</c:f>
              <c:strCache>
                <c:ptCount val="1"/>
                <c:pt idx="0">
                  <c:v>Terrestrial &amp; Aerial</c:v>
                </c:pt>
              </c:strCache>
            </c:strRef>
          </c:tx>
          <c:spPr>
            <a:solidFill>
              <a:schemeClr val="accent2">
                <a:lumMod val="60000"/>
              </a:schemeClr>
            </a:solidFill>
            <a:ln w="25400">
              <a:noFill/>
            </a:ln>
            <a:effectLst/>
          </c:spPr>
          <c:cat>
            <c:numRef>
              <c:f>SR_cost_per_minute_forecast!$C$2:$L$2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SR_cost_per_minute_forecast!$C$10:$L$10</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7-78C3-4F50-B8CC-92997E12B376}"/>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r"/>
      <c:layout>
        <c:manualLayout>
          <c:xMode val="edge"/>
          <c:yMode val="edge"/>
          <c:x val="4.4387242158854021E-2"/>
          <c:y val="0.77799516251514711"/>
          <c:w val="0.91285533192475909"/>
          <c:h val="0.1898369369539180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b="0" i="0" baseline="0">
                <a:effectLst/>
              </a:rPr>
              <a:t>Total cost by use case (Baseline demand scenario) </a:t>
            </a:r>
            <a:r>
              <a:rPr lang="en-US" sz="1200" b="0" i="0" u="none" strike="noStrike" baseline="0">
                <a:effectLst/>
              </a:rPr>
              <a:t>(20% profit margin)</a:t>
            </a:r>
            <a:endParaRPr lang="en-US" sz="1200">
              <a:effectLst/>
            </a:endParaRP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5591303187231501"/>
          <c:y val="0.14037169986104678"/>
          <c:w val="0.81213044486907282"/>
          <c:h val="0.54532445340563085"/>
        </c:manualLayout>
      </c:layout>
      <c:areaChart>
        <c:grouping val="stacked"/>
        <c:varyColors val="0"/>
        <c:ser>
          <c:idx val="0"/>
          <c:order val="0"/>
          <c:tx>
            <c:strRef>
              <c:f>SR_cost_per_minute_forecast!$B$21</c:f>
              <c:strCache>
                <c:ptCount val="1"/>
                <c:pt idx="0">
                  <c:v>Human Space Flight</c:v>
                </c:pt>
              </c:strCache>
            </c:strRef>
          </c:tx>
          <c:spPr>
            <a:solidFill>
              <a:schemeClr val="accent1"/>
            </a:solidFill>
            <a:ln>
              <a:noFill/>
            </a:ln>
            <a:effectLst/>
          </c:spPr>
          <c:cat>
            <c:numRef>
              <c:f>SR_cost_per_minute_forecast!$C$20:$L$20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SR_cost_per_minute_forecast!$C$21:$L$21</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EBAE-4B04-917F-DD73A18CD201}"/>
            </c:ext>
          </c:extLst>
        </c:ser>
        <c:ser>
          <c:idx val="1"/>
          <c:order val="1"/>
          <c:tx>
            <c:strRef>
              <c:f>SR_cost_per_minute_forecast!$B$22</c:f>
              <c:strCache>
                <c:ptCount val="1"/>
                <c:pt idx="0">
                  <c:v>Near Earth Robotic - LEO Science</c:v>
                </c:pt>
              </c:strCache>
            </c:strRef>
          </c:tx>
          <c:spPr>
            <a:solidFill>
              <a:schemeClr val="accent2"/>
            </a:solidFill>
            <a:ln>
              <a:noFill/>
            </a:ln>
            <a:effectLst/>
          </c:spPr>
          <c:cat>
            <c:numRef>
              <c:f>SR_cost_per_minute_forecast!$C$20:$L$20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SR_cost_per_minute_forecast!$C$22:$L$22</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EBAE-4B04-917F-DD73A18CD201}"/>
            </c:ext>
          </c:extLst>
        </c:ser>
        <c:ser>
          <c:idx val="2"/>
          <c:order val="2"/>
          <c:tx>
            <c:strRef>
              <c:f>SR_cost_per_minute_forecast!$B$23</c:f>
              <c:strCache>
                <c:ptCount val="1"/>
                <c:pt idx="0">
                  <c:v>Near Earth Robotic - GEO and Near Earth</c:v>
                </c:pt>
              </c:strCache>
            </c:strRef>
          </c:tx>
          <c:spPr>
            <a:solidFill>
              <a:schemeClr val="accent3"/>
            </a:solidFill>
            <a:ln>
              <a:noFill/>
            </a:ln>
            <a:effectLst/>
          </c:spPr>
          <c:cat>
            <c:numRef>
              <c:f>SR_cost_per_minute_forecast!$C$20:$L$20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SR_cost_per_minute_forecast!$C$23:$L$23</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2-EBAE-4B04-917F-DD73A18CD201}"/>
            </c:ext>
          </c:extLst>
        </c:ser>
        <c:ser>
          <c:idx val="3"/>
          <c:order val="3"/>
          <c:tx>
            <c:strRef>
              <c:f>SR_cost_per_minute_forecast!$B$24</c:f>
              <c:strCache>
                <c:ptCount val="1"/>
                <c:pt idx="0">
                  <c:v>Deep Space Robotic</c:v>
                </c:pt>
              </c:strCache>
            </c:strRef>
          </c:tx>
          <c:spPr>
            <a:solidFill>
              <a:schemeClr val="accent4"/>
            </a:solidFill>
            <a:ln w="25400">
              <a:noFill/>
            </a:ln>
            <a:effectLst/>
          </c:spPr>
          <c:cat>
            <c:numRef>
              <c:f>SR_cost_per_minute_forecast!$C$20:$L$20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SR_cost_per_minute_forecast!$C$24:$L$24</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EBAE-4B04-917F-DD73A18CD201}"/>
            </c:ext>
          </c:extLst>
        </c:ser>
        <c:ser>
          <c:idx val="4"/>
          <c:order val="4"/>
          <c:tx>
            <c:strRef>
              <c:f>SR_cost_per_minute_forecast!$B$25</c:f>
              <c:strCache>
                <c:ptCount val="1"/>
                <c:pt idx="0">
                  <c:v>Near Earth Robotic - Low Latency &amp; Complex Needs</c:v>
                </c:pt>
              </c:strCache>
            </c:strRef>
          </c:tx>
          <c:spPr>
            <a:solidFill>
              <a:schemeClr val="accent5"/>
            </a:solidFill>
            <a:ln w="25400">
              <a:noFill/>
            </a:ln>
            <a:effectLst/>
          </c:spPr>
          <c:cat>
            <c:numRef>
              <c:f>SR_cost_per_minute_forecast!$C$20:$L$20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SR_cost_per_minute_forecast!$C$25:$L$25</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EBAE-4B04-917F-DD73A18CD201}"/>
            </c:ext>
          </c:extLst>
        </c:ser>
        <c:ser>
          <c:idx val="5"/>
          <c:order val="5"/>
          <c:tx>
            <c:strRef>
              <c:f>SR_cost_per_minute_forecast!$B$26</c:f>
              <c:strCache>
                <c:ptCount val="1"/>
                <c:pt idx="0">
                  <c:v>Mission Operations</c:v>
                </c:pt>
              </c:strCache>
            </c:strRef>
          </c:tx>
          <c:spPr>
            <a:solidFill>
              <a:schemeClr val="accent6"/>
            </a:solidFill>
            <a:ln w="25400">
              <a:noFill/>
            </a:ln>
            <a:effectLst/>
          </c:spPr>
          <c:cat>
            <c:numRef>
              <c:f>SR_cost_per_minute_forecast!$C$20:$L$20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SR_cost_per_minute_forecast!$C$26:$L$26</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EBAE-4B04-917F-DD73A18CD201}"/>
            </c:ext>
          </c:extLst>
        </c:ser>
        <c:ser>
          <c:idx val="6"/>
          <c:order val="6"/>
          <c:tx>
            <c:strRef>
              <c:f>SR_cost_per_minute_forecast!$B$27</c:f>
              <c:strCache>
                <c:ptCount val="1"/>
                <c:pt idx="0">
                  <c:v>Launch Events</c:v>
                </c:pt>
              </c:strCache>
            </c:strRef>
          </c:tx>
          <c:spPr>
            <a:solidFill>
              <a:schemeClr val="accent1">
                <a:lumMod val="60000"/>
              </a:schemeClr>
            </a:solidFill>
            <a:ln w="25400">
              <a:noFill/>
            </a:ln>
            <a:effectLst/>
          </c:spPr>
          <c:cat>
            <c:numRef>
              <c:f>SR_cost_per_minute_forecast!$C$20:$L$20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SR_cost_per_minute_forecast!$C$27:$L$27</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6-EBAE-4B04-917F-DD73A18CD201}"/>
            </c:ext>
          </c:extLst>
        </c:ser>
        <c:ser>
          <c:idx val="7"/>
          <c:order val="7"/>
          <c:tx>
            <c:strRef>
              <c:f>SR_cost_per_minute_forecast!$B$28</c:f>
              <c:strCache>
                <c:ptCount val="1"/>
                <c:pt idx="0">
                  <c:v>Terrestrial &amp; Aerial</c:v>
                </c:pt>
              </c:strCache>
            </c:strRef>
          </c:tx>
          <c:spPr>
            <a:solidFill>
              <a:schemeClr val="accent2">
                <a:lumMod val="60000"/>
              </a:schemeClr>
            </a:solidFill>
            <a:ln w="25400">
              <a:noFill/>
            </a:ln>
            <a:effectLst/>
          </c:spPr>
          <c:cat>
            <c:numRef>
              <c:f>SR_cost_per_minute_forecast!$C$20:$L$20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SR_cost_per_minute_forecast!$C$28:$L$28</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7-EBAE-4B04-917F-DD73A18CD201}"/>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b="0" i="0" baseline="0">
                <a:effectLst/>
              </a:rPr>
              <a:t>Total cost by use case (High demand scenario) </a:t>
            </a:r>
            <a:r>
              <a:rPr lang="en-US" sz="1200" b="0" i="0" u="none" strike="noStrike" baseline="0">
                <a:effectLst/>
              </a:rPr>
              <a:t>(20% profit margin)</a:t>
            </a:r>
            <a:endParaRPr lang="en-US" sz="1200">
              <a:effectLst/>
            </a:endParaRP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6648066522503069"/>
          <c:y val="0.13755100539470003"/>
          <c:w val="0.80156281151635722"/>
          <c:h val="0.56663816329744165"/>
        </c:manualLayout>
      </c:layout>
      <c:areaChart>
        <c:grouping val="stacked"/>
        <c:varyColors val="0"/>
        <c:ser>
          <c:idx val="0"/>
          <c:order val="0"/>
          <c:tx>
            <c:strRef>
              <c:f>SR_cost_per_minute_forecast!$B$39</c:f>
              <c:strCache>
                <c:ptCount val="1"/>
                <c:pt idx="0">
                  <c:v>Human Space Flight</c:v>
                </c:pt>
              </c:strCache>
            </c:strRef>
          </c:tx>
          <c:spPr>
            <a:solidFill>
              <a:schemeClr val="accent1"/>
            </a:solidFill>
            <a:ln>
              <a:noFill/>
            </a:ln>
            <a:effectLst/>
          </c:spPr>
          <c:cat>
            <c:numRef>
              <c:f>SR_cost_per_minute_forecast!$C$38:$L$38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SR_cost_per_minute_forecast!$C$39:$L$39</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6C2A-4F49-93A4-E3C6163E61EF}"/>
            </c:ext>
          </c:extLst>
        </c:ser>
        <c:ser>
          <c:idx val="1"/>
          <c:order val="1"/>
          <c:tx>
            <c:strRef>
              <c:f>SR_cost_per_minute_forecast!$B$40</c:f>
              <c:strCache>
                <c:ptCount val="1"/>
                <c:pt idx="0">
                  <c:v>Near Earth Robotic - LEO Science</c:v>
                </c:pt>
              </c:strCache>
            </c:strRef>
          </c:tx>
          <c:spPr>
            <a:solidFill>
              <a:schemeClr val="accent2"/>
            </a:solidFill>
            <a:ln>
              <a:noFill/>
            </a:ln>
            <a:effectLst/>
          </c:spPr>
          <c:cat>
            <c:numRef>
              <c:f>SR_cost_per_minute_forecast!$C$38:$L$38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SR_cost_per_minute_forecast!$C$40:$L$40</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6C2A-4F49-93A4-E3C6163E61EF}"/>
            </c:ext>
          </c:extLst>
        </c:ser>
        <c:ser>
          <c:idx val="2"/>
          <c:order val="2"/>
          <c:tx>
            <c:strRef>
              <c:f>SR_cost_per_minute_forecast!$B$41</c:f>
              <c:strCache>
                <c:ptCount val="1"/>
                <c:pt idx="0">
                  <c:v>Near Earth Robotic - GEO and Near Earth</c:v>
                </c:pt>
              </c:strCache>
            </c:strRef>
          </c:tx>
          <c:spPr>
            <a:solidFill>
              <a:schemeClr val="accent3"/>
            </a:solidFill>
            <a:ln>
              <a:noFill/>
            </a:ln>
            <a:effectLst/>
          </c:spPr>
          <c:cat>
            <c:numRef>
              <c:f>SR_cost_per_minute_forecast!$C$38:$L$38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SR_cost_per_minute_forecast!$C$41:$L$41</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2-6C2A-4F49-93A4-E3C6163E61EF}"/>
            </c:ext>
          </c:extLst>
        </c:ser>
        <c:ser>
          <c:idx val="3"/>
          <c:order val="3"/>
          <c:tx>
            <c:strRef>
              <c:f>SR_cost_per_minute_forecast!$B$42</c:f>
              <c:strCache>
                <c:ptCount val="1"/>
                <c:pt idx="0">
                  <c:v>Deep Space Robotic</c:v>
                </c:pt>
              </c:strCache>
            </c:strRef>
          </c:tx>
          <c:spPr>
            <a:solidFill>
              <a:schemeClr val="accent4"/>
            </a:solidFill>
            <a:ln w="25400">
              <a:noFill/>
            </a:ln>
            <a:effectLst/>
          </c:spPr>
          <c:cat>
            <c:numRef>
              <c:f>SR_cost_per_minute_forecast!$C$38:$L$38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SR_cost_per_minute_forecast!$C$42:$L$42</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6C2A-4F49-93A4-E3C6163E61EF}"/>
            </c:ext>
          </c:extLst>
        </c:ser>
        <c:ser>
          <c:idx val="4"/>
          <c:order val="4"/>
          <c:tx>
            <c:strRef>
              <c:f>SR_cost_per_minute_forecast!$B$43</c:f>
              <c:strCache>
                <c:ptCount val="1"/>
                <c:pt idx="0">
                  <c:v>Near Earth Robotic - Low Latency &amp; Complex Needs</c:v>
                </c:pt>
              </c:strCache>
            </c:strRef>
          </c:tx>
          <c:spPr>
            <a:solidFill>
              <a:schemeClr val="accent5"/>
            </a:solidFill>
            <a:ln w="25400">
              <a:noFill/>
            </a:ln>
            <a:effectLst/>
          </c:spPr>
          <c:cat>
            <c:numRef>
              <c:f>SR_cost_per_minute_forecast!$C$38:$L$38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SR_cost_per_minute_forecast!$C$43:$L$43</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6C2A-4F49-93A4-E3C6163E61EF}"/>
            </c:ext>
          </c:extLst>
        </c:ser>
        <c:ser>
          <c:idx val="5"/>
          <c:order val="5"/>
          <c:tx>
            <c:strRef>
              <c:f>SR_cost_per_minute_forecast!$B$44</c:f>
              <c:strCache>
                <c:ptCount val="1"/>
                <c:pt idx="0">
                  <c:v>Mission Operations</c:v>
                </c:pt>
              </c:strCache>
            </c:strRef>
          </c:tx>
          <c:spPr>
            <a:solidFill>
              <a:schemeClr val="accent6"/>
            </a:solidFill>
            <a:ln w="25400">
              <a:noFill/>
            </a:ln>
            <a:effectLst/>
          </c:spPr>
          <c:cat>
            <c:numRef>
              <c:f>SR_cost_per_minute_forecast!$C$38:$L$38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SR_cost_per_minute_forecast!$C$44:$L$44</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6C2A-4F49-93A4-E3C6163E61EF}"/>
            </c:ext>
          </c:extLst>
        </c:ser>
        <c:ser>
          <c:idx val="6"/>
          <c:order val="6"/>
          <c:tx>
            <c:strRef>
              <c:f>SR_cost_per_minute_forecast!$B$45</c:f>
              <c:strCache>
                <c:ptCount val="1"/>
                <c:pt idx="0">
                  <c:v>Launch Events</c:v>
                </c:pt>
              </c:strCache>
            </c:strRef>
          </c:tx>
          <c:spPr>
            <a:solidFill>
              <a:schemeClr val="accent1">
                <a:lumMod val="60000"/>
              </a:schemeClr>
            </a:solidFill>
            <a:ln w="25400">
              <a:noFill/>
            </a:ln>
            <a:effectLst/>
          </c:spPr>
          <c:cat>
            <c:numRef>
              <c:f>SR_cost_per_minute_forecast!$C$38:$L$38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SR_cost_per_minute_forecast!$C$45:$L$45</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6-6C2A-4F49-93A4-E3C6163E61EF}"/>
            </c:ext>
          </c:extLst>
        </c:ser>
        <c:ser>
          <c:idx val="7"/>
          <c:order val="7"/>
          <c:tx>
            <c:strRef>
              <c:f>SR_cost_per_minute_forecast!$B$46</c:f>
              <c:strCache>
                <c:ptCount val="1"/>
                <c:pt idx="0">
                  <c:v>Terrestrial &amp; Aerial</c:v>
                </c:pt>
              </c:strCache>
            </c:strRef>
          </c:tx>
          <c:spPr>
            <a:solidFill>
              <a:schemeClr val="accent2">
                <a:lumMod val="60000"/>
              </a:schemeClr>
            </a:solidFill>
            <a:ln w="25400">
              <a:noFill/>
            </a:ln>
            <a:effectLst/>
          </c:spPr>
          <c:cat>
            <c:numRef>
              <c:f>SR_cost_per_minute_forecast!$C$38:$L$38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SR_cost_per_minute_forecast!$C$46:$L$46</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7-6C2A-4F49-93A4-E3C6163E61EF}"/>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SR </a:t>
            </a:r>
            <a:r>
              <a:rPr lang="en-US"/>
              <a:t>Total aggregate cost by scenario (20%</a:t>
            </a:r>
            <a:r>
              <a:rPr lang="en-US" baseline="0"/>
              <a:t> profit margin)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SR_cost_per_minute_forecast!$B$1</c:f>
              <c:strCache>
                <c:ptCount val="1"/>
                <c:pt idx="0">
                  <c:v>Low Demand</c:v>
                </c:pt>
              </c:strCache>
            </c:strRef>
          </c:tx>
          <c:spPr>
            <a:ln w="28575" cap="rnd">
              <a:solidFill>
                <a:schemeClr val="accent1"/>
              </a:solidFill>
              <a:round/>
            </a:ln>
            <a:effectLst/>
          </c:spPr>
          <c:marker>
            <c:symbol val="none"/>
          </c:marker>
          <c:cat>
            <c:numRef>
              <c:f>SR_cost_per_minute_forecast!$C$2:$L$2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SR_cost_per_minute_forecast!$C$11:$L$11</c:f>
              <c:numCache>
                <c:formatCode>_(* #,##0_);_(* \(#,##0\);_(* "-"??_);_(@_)</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0-8117-474D-A065-693ADF4CC646}"/>
            </c:ext>
          </c:extLst>
        </c:ser>
        <c:ser>
          <c:idx val="1"/>
          <c:order val="1"/>
          <c:tx>
            <c:strRef>
              <c:f>SR_cost_per_minute_forecast!$B$19</c:f>
              <c:strCache>
                <c:ptCount val="1"/>
                <c:pt idx="0">
                  <c:v>Baseline Demand</c:v>
                </c:pt>
              </c:strCache>
            </c:strRef>
          </c:tx>
          <c:spPr>
            <a:ln w="28575" cap="rnd">
              <a:solidFill>
                <a:schemeClr val="accent2"/>
              </a:solidFill>
              <a:round/>
            </a:ln>
            <a:effectLst/>
          </c:spPr>
          <c:marker>
            <c:symbol val="none"/>
          </c:marker>
          <c:cat>
            <c:numRef>
              <c:f>SR_cost_per_minute_forecast!$C$2:$L$2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SR_cost_per_minute_forecast!$C$29:$L$29</c:f>
              <c:numCache>
                <c:formatCode>_(* #,##0_);_(* \(#,##0\);_(* "-"??_);_(@_)</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1-8117-474D-A065-693ADF4CC646}"/>
            </c:ext>
          </c:extLst>
        </c:ser>
        <c:ser>
          <c:idx val="2"/>
          <c:order val="2"/>
          <c:tx>
            <c:strRef>
              <c:f>SR_cost_per_minute_forecast!$B$37</c:f>
              <c:strCache>
                <c:ptCount val="1"/>
                <c:pt idx="0">
                  <c:v>High Demand</c:v>
                </c:pt>
              </c:strCache>
            </c:strRef>
          </c:tx>
          <c:spPr>
            <a:ln w="28575" cap="rnd">
              <a:solidFill>
                <a:schemeClr val="accent3"/>
              </a:solidFill>
              <a:round/>
            </a:ln>
            <a:effectLst/>
          </c:spPr>
          <c:marker>
            <c:symbol val="none"/>
          </c:marker>
          <c:cat>
            <c:numRef>
              <c:f>SR_cost_per_minute_forecast!$C$2:$L$2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SR_cost_per_minute_forecast!$C$47:$L$47</c:f>
              <c:numCache>
                <c:formatCode>_(* #,##0_);_(* \(#,##0\);_(* "-"??_);_(@_)</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2-8117-474D-A065-693ADF4CC646}"/>
            </c:ext>
          </c:extLst>
        </c:ser>
        <c:dLbls>
          <c:showLegendKey val="0"/>
          <c:showVal val="0"/>
          <c:showCatName val="0"/>
          <c:showSerName val="0"/>
          <c:showPercent val="0"/>
          <c:showBubbleSize val="0"/>
        </c:dLbls>
        <c:smooth val="0"/>
        <c:axId val="377482960"/>
        <c:axId val="377479632"/>
      </c:lineChart>
      <c:catAx>
        <c:axId val="3774829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7479632"/>
        <c:crosses val="autoZero"/>
        <c:auto val="1"/>
        <c:lblAlgn val="ctr"/>
        <c:lblOffset val="100"/>
        <c:noMultiLvlLbl val="0"/>
      </c:catAx>
      <c:valAx>
        <c:axId val="37747963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74829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a:t>Total cost by use case (Low demand scenario) </a:t>
            </a:r>
            <a:r>
              <a:rPr lang="en-US" sz="1200" b="0" i="0" u="none" strike="noStrike" baseline="0">
                <a:effectLst/>
              </a:rPr>
              <a:t>(40% profit margin)</a:t>
            </a:r>
            <a:endParaRPr lang="en-US" sz="1200"/>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6580466952930259"/>
          <c:y val="0.18126685397946379"/>
          <c:w val="0.80223880721208529"/>
          <c:h val="0.48459830760805012"/>
        </c:manualLayout>
      </c:layout>
      <c:areaChart>
        <c:grouping val="stacked"/>
        <c:varyColors val="0"/>
        <c:ser>
          <c:idx val="0"/>
          <c:order val="0"/>
          <c:tx>
            <c:strRef>
              <c:f>SR_cost_per_minute_forecast!$B$59</c:f>
              <c:strCache>
                <c:ptCount val="1"/>
                <c:pt idx="0">
                  <c:v>Human Space Flight</c:v>
                </c:pt>
              </c:strCache>
            </c:strRef>
          </c:tx>
          <c:spPr>
            <a:solidFill>
              <a:schemeClr val="accent1"/>
            </a:solidFill>
            <a:ln>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SR_cost_per_minute_forecast!$C$59:$L$59</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3C10-4F8C-AA9E-4565C9E5ECEE}"/>
            </c:ext>
          </c:extLst>
        </c:ser>
        <c:ser>
          <c:idx val="1"/>
          <c:order val="1"/>
          <c:tx>
            <c:strRef>
              <c:f>SR_cost_per_minute_forecast!$B$60</c:f>
              <c:strCache>
                <c:ptCount val="1"/>
                <c:pt idx="0">
                  <c:v>Near Earth Robotic - LEO Science</c:v>
                </c:pt>
              </c:strCache>
            </c:strRef>
          </c:tx>
          <c:spPr>
            <a:solidFill>
              <a:schemeClr val="accent2"/>
            </a:solidFill>
            <a:ln>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SR_cost_per_minute_forecast!$C$60:$L$60</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3C10-4F8C-AA9E-4565C9E5ECEE}"/>
            </c:ext>
          </c:extLst>
        </c:ser>
        <c:ser>
          <c:idx val="2"/>
          <c:order val="2"/>
          <c:tx>
            <c:strRef>
              <c:f>SR_cost_per_minute_forecast!$B$61</c:f>
              <c:strCache>
                <c:ptCount val="1"/>
                <c:pt idx="0">
                  <c:v>Near Earth Robotic - GEO and Near Earth</c:v>
                </c:pt>
              </c:strCache>
            </c:strRef>
          </c:tx>
          <c:spPr>
            <a:solidFill>
              <a:schemeClr val="accent3"/>
            </a:solidFill>
            <a:ln>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SR_cost_per_minute_forecast!$C$61:$L$61</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2-3C10-4F8C-AA9E-4565C9E5ECEE}"/>
            </c:ext>
          </c:extLst>
        </c:ser>
        <c:ser>
          <c:idx val="3"/>
          <c:order val="3"/>
          <c:tx>
            <c:strRef>
              <c:f>SR_cost_per_minute_forecast!$B$62</c:f>
              <c:strCache>
                <c:ptCount val="1"/>
                <c:pt idx="0">
                  <c:v>Deep Space Robotic</c:v>
                </c:pt>
              </c:strCache>
            </c:strRef>
          </c:tx>
          <c:spPr>
            <a:solidFill>
              <a:schemeClr val="accent4"/>
            </a:solidFill>
            <a:ln w="25400">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SR_cost_per_minute_forecast!$C$62:$L$62</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3C10-4F8C-AA9E-4565C9E5ECEE}"/>
            </c:ext>
          </c:extLst>
        </c:ser>
        <c:ser>
          <c:idx val="4"/>
          <c:order val="4"/>
          <c:tx>
            <c:strRef>
              <c:f>SR_cost_per_minute_forecast!$B$63</c:f>
              <c:strCache>
                <c:ptCount val="1"/>
                <c:pt idx="0">
                  <c:v>Near Earth Robotic - Low Latency &amp; Complex Needs</c:v>
                </c:pt>
              </c:strCache>
            </c:strRef>
          </c:tx>
          <c:spPr>
            <a:solidFill>
              <a:schemeClr val="accent5"/>
            </a:solidFill>
            <a:ln w="25400">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SR_cost_per_minute_forecast!$C$63:$L$63</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3C10-4F8C-AA9E-4565C9E5ECEE}"/>
            </c:ext>
          </c:extLst>
        </c:ser>
        <c:ser>
          <c:idx val="5"/>
          <c:order val="5"/>
          <c:tx>
            <c:strRef>
              <c:f>SR_cost_per_minute_forecast!$B$64</c:f>
              <c:strCache>
                <c:ptCount val="1"/>
                <c:pt idx="0">
                  <c:v>Mission Operations</c:v>
                </c:pt>
              </c:strCache>
            </c:strRef>
          </c:tx>
          <c:spPr>
            <a:solidFill>
              <a:schemeClr val="accent6"/>
            </a:solidFill>
            <a:ln w="25400">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SR_cost_per_minute_forecast!$C$64:$L$64</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3C10-4F8C-AA9E-4565C9E5ECEE}"/>
            </c:ext>
          </c:extLst>
        </c:ser>
        <c:ser>
          <c:idx val="6"/>
          <c:order val="6"/>
          <c:tx>
            <c:strRef>
              <c:f>SR_cost_per_minute_forecast!$B$65</c:f>
              <c:strCache>
                <c:ptCount val="1"/>
                <c:pt idx="0">
                  <c:v>Launch Events</c:v>
                </c:pt>
              </c:strCache>
            </c:strRef>
          </c:tx>
          <c:spPr>
            <a:solidFill>
              <a:schemeClr val="accent1">
                <a:lumMod val="60000"/>
              </a:schemeClr>
            </a:solidFill>
            <a:ln w="25400">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SR_cost_per_minute_forecast!$C$65:$L$65</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6-3C10-4F8C-AA9E-4565C9E5ECEE}"/>
            </c:ext>
          </c:extLst>
        </c:ser>
        <c:ser>
          <c:idx val="7"/>
          <c:order val="7"/>
          <c:tx>
            <c:strRef>
              <c:f>SR_cost_per_minute_forecast!$B$66</c:f>
              <c:strCache>
                <c:ptCount val="1"/>
                <c:pt idx="0">
                  <c:v>Terrestrial &amp; Aerial</c:v>
                </c:pt>
              </c:strCache>
            </c:strRef>
          </c:tx>
          <c:spPr>
            <a:solidFill>
              <a:schemeClr val="accent2">
                <a:lumMod val="60000"/>
              </a:schemeClr>
            </a:solidFill>
            <a:ln w="25400">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SR_cost_per_minute_forecast!$C$66:$L$66</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7-3C10-4F8C-AA9E-4565C9E5ECEE}"/>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r"/>
      <c:layout>
        <c:manualLayout>
          <c:xMode val="edge"/>
          <c:yMode val="edge"/>
          <c:x val="4.4387242158854021E-2"/>
          <c:y val="0.77799516251514711"/>
          <c:w val="0.91285533192475909"/>
          <c:h val="0.1898369369539180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200" b="0" i="0" u="none" strike="noStrike" kern="1200" spc="0" baseline="0">
                <a:solidFill>
                  <a:sysClr val="windowText" lastClr="000000">
                    <a:lumMod val="65000"/>
                    <a:lumOff val="35000"/>
                  </a:sysClr>
                </a:solidFill>
                <a:latin typeface="+mn-lt"/>
                <a:ea typeface="+mn-ea"/>
                <a:cs typeface="+mn-cs"/>
              </a:defRPr>
            </a:pPr>
            <a:r>
              <a:rPr lang="en-US" sz="1200" b="0" i="0" baseline="0">
                <a:effectLst/>
              </a:rPr>
              <a:t>Total cost by use case (Baseline demand </a:t>
            </a:r>
            <a:r>
              <a:rPr lang="en-US" sz="1200" b="0" i="0" u="none" strike="noStrike" kern="1200" spc="0" baseline="0">
                <a:solidFill>
                  <a:sysClr val="windowText" lastClr="000000">
                    <a:lumMod val="65000"/>
                    <a:lumOff val="35000"/>
                  </a:sysClr>
                </a:solidFill>
                <a:effectLst/>
                <a:latin typeface="+mn-lt"/>
                <a:ea typeface="+mn-ea"/>
                <a:cs typeface="+mn-cs"/>
              </a:rPr>
              <a:t>scenario) (40% profit margin)</a:t>
            </a:r>
            <a:r>
              <a:rPr lang="en-US" sz="1200" b="0" i="0" baseline="0">
                <a:effectLst/>
              </a:rPr>
              <a:t> </a:t>
            </a:r>
            <a:endParaRPr lang="en-US" sz="1200">
              <a:effectLst/>
            </a:endParaRP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2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lotArea>
      <c:layout>
        <c:manualLayout>
          <c:layoutTarget val="inner"/>
          <c:xMode val="edge"/>
          <c:yMode val="edge"/>
          <c:x val="0.15591303187231501"/>
          <c:y val="0.14037169986104678"/>
          <c:w val="0.81213044486907282"/>
          <c:h val="0.57779952138335644"/>
        </c:manualLayout>
      </c:layout>
      <c:areaChart>
        <c:grouping val="stacked"/>
        <c:varyColors val="0"/>
        <c:ser>
          <c:idx val="0"/>
          <c:order val="0"/>
          <c:tx>
            <c:strRef>
              <c:f>SR_cost_per_minute_forecast!$B$77</c:f>
              <c:strCache>
                <c:ptCount val="1"/>
                <c:pt idx="0">
                  <c:v>Human Space Flight</c:v>
                </c:pt>
              </c:strCache>
            </c:strRef>
          </c:tx>
          <c:spPr>
            <a:solidFill>
              <a:schemeClr val="accent1"/>
            </a:solidFill>
            <a:ln>
              <a:noFill/>
            </a:ln>
            <a:effectLst/>
          </c:spPr>
          <c:cat>
            <c:numRef>
              <c:f>SR_cost_per_minute_forecast!$C$76:$L$76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SR_cost_per_minute_forecast!$C$77:$L$77</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8440-440B-A4A3-AEF9D59E0790}"/>
            </c:ext>
          </c:extLst>
        </c:ser>
        <c:ser>
          <c:idx val="1"/>
          <c:order val="1"/>
          <c:tx>
            <c:strRef>
              <c:f>SR_cost_per_minute_forecast!$B$78</c:f>
              <c:strCache>
                <c:ptCount val="1"/>
                <c:pt idx="0">
                  <c:v>Near Earth Robotic - LEO Science</c:v>
                </c:pt>
              </c:strCache>
            </c:strRef>
          </c:tx>
          <c:spPr>
            <a:solidFill>
              <a:schemeClr val="accent2"/>
            </a:solidFill>
            <a:ln>
              <a:noFill/>
            </a:ln>
            <a:effectLst/>
          </c:spPr>
          <c:cat>
            <c:numRef>
              <c:f>SR_cost_per_minute_forecast!$C$76:$L$76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SR_cost_per_minute_forecast!$C$78:$L$78</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8440-440B-A4A3-AEF9D59E0790}"/>
            </c:ext>
          </c:extLst>
        </c:ser>
        <c:ser>
          <c:idx val="2"/>
          <c:order val="2"/>
          <c:tx>
            <c:strRef>
              <c:f>SR_cost_per_minute_forecast!$B$79</c:f>
              <c:strCache>
                <c:ptCount val="1"/>
                <c:pt idx="0">
                  <c:v>Near Earth Robotic - GEO and Near Earth</c:v>
                </c:pt>
              </c:strCache>
            </c:strRef>
          </c:tx>
          <c:spPr>
            <a:solidFill>
              <a:schemeClr val="accent3"/>
            </a:solidFill>
            <a:ln>
              <a:noFill/>
            </a:ln>
            <a:effectLst/>
          </c:spPr>
          <c:cat>
            <c:numRef>
              <c:f>SR_cost_per_minute_forecast!$C$76:$L$76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SR_cost_per_minute_forecast!$C$79:$L$79</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2-8440-440B-A4A3-AEF9D59E0790}"/>
            </c:ext>
          </c:extLst>
        </c:ser>
        <c:ser>
          <c:idx val="3"/>
          <c:order val="3"/>
          <c:tx>
            <c:strRef>
              <c:f>SR_cost_per_minute_forecast!$B$80</c:f>
              <c:strCache>
                <c:ptCount val="1"/>
                <c:pt idx="0">
                  <c:v>Deep Space Robotic</c:v>
                </c:pt>
              </c:strCache>
            </c:strRef>
          </c:tx>
          <c:spPr>
            <a:solidFill>
              <a:schemeClr val="accent4"/>
            </a:solidFill>
            <a:ln w="25400">
              <a:noFill/>
            </a:ln>
            <a:effectLst/>
          </c:spPr>
          <c:cat>
            <c:numRef>
              <c:f>SR_cost_per_minute_forecast!$C$76:$L$76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SR_cost_per_minute_forecast!$C$80:$L$80</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8440-440B-A4A3-AEF9D59E0790}"/>
            </c:ext>
          </c:extLst>
        </c:ser>
        <c:ser>
          <c:idx val="4"/>
          <c:order val="4"/>
          <c:tx>
            <c:strRef>
              <c:f>SR_cost_per_minute_forecast!$B$81</c:f>
              <c:strCache>
                <c:ptCount val="1"/>
                <c:pt idx="0">
                  <c:v>Near Earth Robotic - Low Latency &amp; Complex Needs</c:v>
                </c:pt>
              </c:strCache>
            </c:strRef>
          </c:tx>
          <c:spPr>
            <a:solidFill>
              <a:schemeClr val="accent5"/>
            </a:solidFill>
            <a:ln w="25400">
              <a:noFill/>
            </a:ln>
            <a:effectLst/>
          </c:spPr>
          <c:cat>
            <c:numRef>
              <c:f>SR_cost_per_minute_forecast!$C$76:$L$76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SR_cost_per_minute_forecast!$C$81:$L$81</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8440-440B-A4A3-AEF9D59E0790}"/>
            </c:ext>
          </c:extLst>
        </c:ser>
        <c:ser>
          <c:idx val="5"/>
          <c:order val="5"/>
          <c:tx>
            <c:strRef>
              <c:f>SR_cost_per_minute_forecast!$B$82</c:f>
              <c:strCache>
                <c:ptCount val="1"/>
                <c:pt idx="0">
                  <c:v>Mission Operations</c:v>
                </c:pt>
              </c:strCache>
            </c:strRef>
          </c:tx>
          <c:spPr>
            <a:solidFill>
              <a:schemeClr val="accent6"/>
            </a:solidFill>
            <a:ln w="25400">
              <a:noFill/>
            </a:ln>
            <a:effectLst/>
          </c:spPr>
          <c:cat>
            <c:numRef>
              <c:f>SR_cost_per_minute_forecast!$C$76:$L$76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SR_cost_per_minute_forecast!$C$82:$L$82</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8440-440B-A4A3-AEF9D59E0790}"/>
            </c:ext>
          </c:extLst>
        </c:ser>
        <c:ser>
          <c:idx val="6"/>
          <c:order val="6"/>
          <c:tx>
            <c:strRef>
              <c:f>SR_cost_per_minute_forecast!$B$83</c:f>
              <c:strCache>
                <c:ptCount val="1"/>
                <c:pt idx="0">
                  <c:v>Launch Events</c:v>
                </c:pt>
              </c:strCache>
            </c:strRef>
          </c:tx>
          <c:spPr>
            <a:solidFill>
              <a:schemeClr val="accent1">
                <a:lumMod val="60000"/>
              </a:schemeClr>
            </a:solidFill>
            <a:ln w="25400">
              <a:noFill/>
            </a:ln>
            <a:effectLst/>
          </c:spPr>
          <c:cat>
            <c:numRef>
              <c:f>SR_cost_per_minute_forecast!$C$76:$L$76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SR_cost_per_minute_forecast!$C$83:$L$83</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6-8440-440B-A4A3-AEF9D59E0790}"/>
            </c:ext>
          </c:extLst>
        </c:ser>
        <c:ser>
          <c:idx val="7"/>
          <c:order val="7"/>
          <c:tx>
            <c:strRef>
              <c:f>SR_cost_per_minute_forecast!$B$84</c:f>
              <c:strCache>
                <c:ptCount val="1"/>
                <c:pt idx="0">
                  <c:v>Terrestrial &amp; Aerial</c:v>
                </c:pt>
              </c:strCache>
            </c:strRef>
          </c:tx>
          <c:spPr>
            <a:solidFill>
              <a:schemeClr val="accent2">
                <a:lumMod val="60000"/>
              </a:schemeClr>
            </a:solidFill>
            <a:ln w="25400">
              <a:noFill/>
            </a:ln>
            <a:effectLst/>
          </c:spPr>
          <c:cat>
            <c:numRef>
              <c:f>SR_cost_per_minute_forecast!$C$76:$L$76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SR_cost_per_minute_forecast!$C$84:$L$84</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7-8440-440B-A4A3-AEF9D59E0790}"/>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b="0" i="0" baseline="0">
                <a:effectLst/>
              </a:rPr>
              <a:t>Total cost by use case (High demand scenario)</a:t>
            </a:r>
            <a:r>
              <a:rPr lang="en-US" sz="1200" b="0" i="0" u="none" strike="noStrike" baseline="0">
                <a:effectLst/>
              </a:rPr>
              <a:t> (40% profit margin) </a:t>
            </a:r>
            <a:endParaRPr lang="en-US" sz="1200">
              <a:effectLst/>
            </a:endParaRP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6648066522503069"/>
          <c:y val="0.13755100539470003"/>
          <c:w val="0.80156281151635722"/>
          <c:h val="0.56663816329744165"/>
        </c:manualLayout>
      </c:layout>
      <c:areaChart>
        <c:grouping val="stacked"/>
        <c:varyColors val="0"/>
        <c:ser>
          <c:idx val="0"/>
          <c:order val="0"/>
          <c:tx>
            <c:strRef>
              <c:f>SR_cost_per_minute_forecast!$B$95</c:f>
              <c:strCache>
                <c:ptCount val="1"/>
                <c:pt idx="0">
                  <c:v>Human Space Flight</c:v>
                </c:pt>
              </c:strCache>
            </c:strRef>
          </c:tx>
          <c:spPr>
            <a:solidFill>
              <a:schemeClr val="accent1"/>
            </a:solidFill>
            <a:ln>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SR_cost_per_minute_forecast!$C$95:$L$95</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7298-4925-8019-120CF6B8F637}"/>
            </c:ext>
          </c:extLst>
        </c:ser>
        <c:ser>
          <c:idx val="1"/>
          <c:order val="1"/>
          <c:tx>
            <c:strRef>
              <c:f>SR_cost_per_minute_forecast!$B$96</c:f>
              <c:strCache>
                <c:ptCount val="1"/>
                <c:pt idx="0">
                  <c:v>Near Earth Robotic - LEO Science</c:v>
                </c:pt>
              </c:strCache>
            </c:strRef>
          </c:tx>
          <c:spPr>
            <a:solidFill>
              <a:schemeClr val="accent2"/>
            </a:solidFill>
            <a:ln>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SR_cost_per_minute_forecast!$C$96:$L$96</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7298-4925-8019-120CF6B8F637}"/>
            </c:ext>
          </c:extLst>
        </c:ser>
        <c:ser>
          <c:idx val="2"/>
          <c:order val="2"/>
          <c:tx>
            <c:strRef>
              <c:f>SR_cost_per_minute_forecast!$B$97</c:f>
              <c:strCache>
                <c:ptCount val="1"/>
                <c:pt idx="0">
                  <c:v>Near Earth Robotic - GEO and Near Earth</c:v>
                </c:pt>
              </c:strCache>
            </c:strRef>
          </c:tx>
          <c:spPr>
            <a:solidFill>
              <a:schemeClr val="accent3"/>
            </a:solidFill>
            <a:ln>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SR_cost_per_minute_forecast!$C$97:$L$97</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2-7298-4925-8019-120CF6B8F637}"/>
            </c:ext>
          </c:extLst>
        </c:ser>
        <c:ser>
          <c:idx val="3"/>
          <c:order val="3"/>
          <c:tx>
            <c:strRef>
              <c:f>SR_cost_per_minute_forecast!$B$98</c:f>
              <c:strCache>
                <c:ptCount val="1"/>
                <c:pt idx="0">
                  <c:v>Deep Space Robotic</c:v>
                </c:pt>
              </c:strCache>
            </c:strRef>
          </c:tx>
          <c:spPr>
            <a:solidFill>
              <a:schemeClr val="accent4"/>
            </a:solidFill>
            <a:ln w="25400">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SR_cost_per_minute_forecast!$C$98:$L$98</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7298-4925-8019-120CF6B8F637}"/>
            </c:ext>
          </c:extLst>
        </c:ser>
        <c:ser>
          <c:idx val="4"/>
          <c:order val="4"/>
          <c:tx>
            <c:strRef>
              <c:f>SR_cost_per_minute_forecast!$B$99</c:f>
              <c:strCache>
                <c:ptCount val="1"/>
                <c:pt idx="0">
                  <c:v>Near Earth Robotic - Low Latency &amp; Complex Needs</c:v>
                </c:pt>
              </c:strCache>
            </c:strRef>
          </c:tx>
          <c:spPr>
            <a:solidFill>
              <a:schemeClr val="accent5"/>
            </a:solidFill>
            <a:ln w="25400">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SR_cost_per_minute_forecast!$C$99:$L$99</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7298-4925-8019-120CF6B8F637}"/>
            </c:ext>
          </c:extLst>
        </c:ser>
        <c:ser>
          <c:idx val="5"/>
          <c:order val="5"/>
          <c:tx>
            <c:strRef>
              <c:f>SR_cost_per_minute_forecast!$B$100</c:f>
              <c:strCache>
                <c:ptCount val="1"/>
                <c:pt idx="0">
                  <c:v>Mission Operations</c:v>
                </c:pt>
              </c:strCache>
            </c:strRef>
          </c:tx>
          <c:spPr>
            <a:solidFill>
              <a:schemeClr val="accent6"/>
            </a:solidFill>
            <a:ln w="25400">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SR_cost_per_minute_forecast!$C$100:$L$100</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7298-4925-8019-120CF6B8F637}"/>
            </c:ext>
          </c:extLst>
        </c:ser>
        <c:ser>
          <c:idx val="6"/>
          <c:order val="6"/>
          <c:tx>
            <c:strRef>
              <c:f>SR_cost_per_minute_forecast!$B$101</c:f>
              <c:strCache>
                <c:ptCount val="1"/>
                <c:pt idx="0">
                  <c:v>Launch Events</c:v>
                </c:pt>
              </c:strCache>
            </c:strRef>
          </c:tx>
          <c:spPr>
            <a:solidFill>
              <a:schemeClr val="accent1">
                <a:lumMod val="60000"/>
              </a:schemeClr>
            </a:solidFill>
            <a:ln w="25400">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SR_cost_per_minute_forecast!$C$101:$L$101</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6-7298-4925-8019-120CF6B8F637}"/>
            </c:ext>
          </c:extLst>
        </c:ser>
        <c:ser>
          <c:idx val="7"/>
          <c:order val="7"/>
          <c:tx>
            <c:strRef>
              <c:f>SR_cost_per_minute_forecast!$B$102</c:f>
              <c:strCache>
                <c:ptCount val="1"/>
                <c:pt idx="0">
                  <c:v>Terrestrial &amp; Aerial</c:v>
                </c:pt>
              </c:strCache>
            </c:strRef>
          </c:tx>
          <c:spPr>
            <a:solidFill>
              <a:schemeClr val="accent2">
                <a:lumMod val="60000"/>
              </a:schemeClr>
            </a:solidFill>
            <a:ln w="25400">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SR_cost_per_minute_forecast!$C$102:$L$102</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7-7298-4925-8019-120CF6B8F637}"/>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aggregate cost by scenario </a:t>
            </a:r>
            <a:r>
              <a:rPr lang="en-US" sz="1400" b="0" i="0" u="none" strike="noStrike" baseline="0">
                <a:effectLst/>
              </a:rPr>
              <a:t>(40% profit margin)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SR_cost_per_minute_forecast!$B$57</c:f>
              <c:strCache>
                <c:ptCount val="1"/>
                <c:pt idx="0">
                  <c:v>Low Demand</c:v>
                </c:pt>
              </c:strCache>
            </c:strRef>
          </c:tx>
          <c:spPr>
            <a:ln w="28575" cap="rnd">
              <a:solidFill>
                <a:schemeClr val="accent1"/>
              </a:solidFill>
              <a:round/>
            </a:ln>
            <a:effectLst/>
          </c:spPr>
          <c:marker>
            <c:symbol val="none"/>
          </c:marke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SR_cost_per_minute_forecast!$C$67:$L$67</c:f>
              <c:numCache>
                <c:formatCode>_(* #,##0_);_(* \(#,##0\);_(* "-"??_);_(@_)</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0-1093-4F9A-AD58-B78EFEF2BA09}"/>
            </c:ext>
          </c:extLst>
        </c:ser>
        <c:ser>
          <c:idx val="1"/>
          <c:order val="1"/>
          <c:tx>
            <c:strRef>
              <c:f>SR_cost_per_minute_forecast!$B$75</c:f>
              <c:strCache>
                <c:ptCount val="1"/>
                <c:pt idx="0">
                  <c:v>Baseline Demand</c:v>
                </c:pt>
              </c:strCache>
            </c:strRef>
          </c:tx>
          <c:spPr>
            <a:ln w="28575" cap="rnd">
              <a:solidFill>
                <a:schemeClr val="accent2"/>
              </a:solidFill>
              <a:round/>
            </a:ln>
            <a:effectLst/>
          </c:spPr>
          <c:marker>
            <c:symbol val="none"/>
          </c:marke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SR_cost_per_minute_forecast!$C$85:$L$85</c:f>
              <c:numCache>
                <c:formatCode>_(* #,##0_);_(* \(#,##0\);_(* "-"??_);_(@_)</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1-1093-4F9A-AD58-B78EFEF2BA09}"/>
            </c:ext>
          </c:extLst>
        </c:ser>
        <c:ser>
          <c:idx val="2"/>
          <c:order val="2"/>
          <c:tx>
            <c:strRef>
              <c:f>SR_cost_per_minute_forecast!$B$93</c:f>
              <c:strCache>
                <c:ptCount val="1"/>
                <c:pt idx="0">
                  <c:v>High Demand</c:v>
                </c:pt>
              </c:strCache>
            </c:strRef>
          </c:tx>
          <c:spPr>
            <a:ln w="28575" cap="rnd">
              <a:solidFill>
                <a:schemeClr val="accent3"/>
              </a:solidFill>
              <a:round/>
            </a:ln>
            <a:effectLst/>
          </c:spPr>
          <c:marker>
            <c:symbol val="none"/>
          </c:marke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SR_cost_per_minute_forecast!$C$103:$L$103</c:f>
              <c:numCache>
                <c:formatCode>_(* #,##0_);_(* \(#,##0\);_(* "-"??_);_(@_)</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2-1093-4F9A-AD58-B78EFEF2BA09}"/>
            </c:ext>
          </c:extLst>
        </c:ser>
        <c:dLbls>
          <c:showLegendKey val="0"/>
          <c:showVal val="0"/>
          <c:showCatName val="0"/>
          <c:showSerName val="0"/>
          <c:showPercent val="0"/>
          <c:showBubbleSize val="0"/>
        </c:dLbls>
        <c:smooth val="0"/>
        <c:axId val="377482960"/>
        <c:axId val="377479632"/>
      </c:lineChart>
      <c:catAx>
        <c:axId val="3774829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7479632"/>
        <c:crosses val="autoZero"/>
        <c:auto val="1"/>
        <c:lblAlgn val="ctr"/>
        <c:lblOffset val="100"/>
        <c:noMultiLvlLbl val="0"/>
      </c:catAx>
      <c:valAx>
        <c:axId val="37747963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74829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a:t>Total cost by use case (Low demand scenario) </a:t>
            </a:r>
            <a:r>
              <a:rPr lang="en-US" sz="1200" b="0" i="0" u="none" strike="noStrike" baseline="0">
                <a:effectLst/>
              </a:rPr>
              <a:t>) (60% profit margin) </a:t>
            </a:r>
            <a:endParaRPr lang="en-US" sz="1200"/>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6580466952930259"/>
          <c:y val="0.18126685397946379"/>
          <c:w val="0.80223880721208529"/>
          <c:h val="0.48459830760805012"/>
        </c:manualLayout>
      </c:layout>
      <c:areaChart>
        <c:grouping val="stacked"/>
        <c:varyColors val="0"/>
        <c:ser>
          <c:idx val="0"/>
          <c:order val="0"/>
          <c:tx>
            <c:strRef>
              <c:f>SR_cost_per_minute_forecast!$B$115</c:f>
              <c:strCache>
                <c:ptCount val="1"/>
                <c:pt idx="0">
                  <c:v>Human Space Flight</c:v>
                </c:pt>
              </c:strCache>
            </c:strRef>
          </c:tx>
          <c:spPr>
            <a:solidFill>
              <a:schemeClr val="accent1"/>
            </a:solidFill>
            <a:ln>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SR_cost_per_minute_forecast!$C$115:$L$115</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0596-4857-8145-4F086E14FA9C}"/>
            </c:ext>
          </c:extLst>
        </c:ser>
        <c:ser>
          <c:idx val="1"/>
          <c:order val="1"/>
          <c:tx>
            <c:strRef>
              <c:f>SR_cost_per_minute_forecast!$B$116</c:f>
              <c:strCache>
                <c:ptCount val="1"/>
                <c:pt idx="0">
                  <c:v>Near Earth Robotic - LEO Science</c:v>
                </c:pt>
              </c:strCache>
            </c:strRef>
          </c:tx>
          <c:spPr>
            <a:solidFill>
              <a:schemeClr val="accent2"/>
            </a:solidFill>
            <a:ln>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SR_cost_per_minute_forecast!$C$116:$L$116</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0596-4857-8145-4F086E14FA9C}"/>
            </c:ext>
          </c:extLst>
        </c:ser>
        <c:ser>
          <c:idx val="2"/>
          <c:order val="2"/>
          <c:tx>
            <c:strRef>
              <c:f>SR_cost_per_minute_forecast!$B$117</c:f>
              <c:strCache>
                <c:ptCount val="1"/>
                <c:pt idx="0">
                  <c:v>Near Earth Robotic - GEO and Near Earth</c:v>
                </c:pt>
              </c:strCache>
            </c:strRef>
          </c:tx>
          <c:spPr>
            <a:solidFill>
              <a:schemeClr val="accent3"/>
            </a:solidFill>
            <a:ln>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SR_cost_per_minute_forecast!$C$117:$L$117</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2-0596-4857-8145-4F086E14FA9C}"/>
            </c:ext>
          </c:extLst>
        </c:ser>
        <c:ser>
          <c:idx val="3"/>
          <c:order val="3"/>
          <c:tx>
            <c:strRef>
              <c:f>SR_cost_per_minute_forecast!$B$118</c:f>
              <c:strCache>
                <c:ptCount val="1"/>
                <c:pt idx="0">
                  <c:v>Deep Space Robotic</c:v>
                </c:pt>
              </c:strCache>
            </c:strRef>
          </c:tx>
          <c:spPr>
            <a:solidFill>
              <a:schemeClr val="accent4"/>
            </a:solidFill>
            <a:ln w="25400">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SR_cost_per_minute_forecast!$C$118:$L$118</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0596-4857-8145-4F086E14FA9C}"/>
            </c:ext>
          </c:extLst>
        </c:ser>
        <c:ser>
          <c:idx val="4"/>
          <c:order val="4"/>
          <c:tx>
            <c:strRef>
              <c:f>SR_cost_per_minute_forecast!$B$119</c:f>
              <c:strCache>
                <c:ptCount val="1"/>
                <c:pt idx="0">
                  <c:v>Near Earth Robotic - Low Latency &amp; Complex Needs</c:v>
                </c:pt>
              </c:strCache>
            </c:strRef>
          </c:tx>
          <c:spPr>
            <a:solidFill>
              <a:schemeClr val="accent5"/>
            </a:solidFill>
            <a:ln w="25400">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SR_cost_per_minute_forecast!$C$119:$L$119</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0596-4857-8145-4F086E14FA9C}"/>
            </c:ext>
          </c:extLst>
        </c:ser>
        <c:ser>
          <c:idx val="5"/>
          <c:order val="5"/>
          <c:tx>
            <c:strRef>
              <c:f>SR_cost_per_minute_forecast!$B$120</c:f>
              <c:strCache>
                <c:ptCount val="1"/>
                <c:pt idx="0">
                  <c:v>Mission Operations</c:v>
                </c:pt>
              </c:strCache>
            </c:strRef>
          </c:tx>
          <c:spPr>
            <a:solidFill>
              <a:schemeClr val="accent6"/>
            </a:solidFill>
            <a:ln w="25400">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SR_cost_per_minute_forecast!$C$120:$L$120</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0596-4857-8145-4F086E14FA9C}"/>
            </c:ext>
          </c:extLst>
        </c:ser>
        <c:ser>
          <c:idx val="6"/>
          <c:order val="6"/>
          <c:tx>
            <c:strRef>
              <c:f>SR_cost_per_minute_forecast!$B$121</c:f>
              <c:strCache>
                <c:ptCount val="1"/>
                <c:pt idx="0">
                  <c:v>Launch Events</c:v>
                </c:pt>
              </c:strCache>
            </c:strRef>
          </c:tx>
          <c:spPr>
            <a:solidFill>
              <a:schemeClr val="accent1">
                <a:lumMod val="60000"/>
              </a:schemeClr>
            </a:solidFill>
            <a:ln w="25400">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SR_cost_per_minute_forecast!$C$121:$L$121</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6-0596-4857-8145-4F086E14FA9C}"/>
            </c:ext>
          </c:extLst>
        </c:ser>
        <c:ser>
          <c:idx val="7"/>
          <c:order val="7"/>
          <c:tx>
            <c:strRef>
              <c:f>SR_cost_per_minute_forecast!$B$122</c:f>
              <c:strCache>
                <c:ptCount val="1"/>
                <c:pt idx="0">
                  <c:v>Terrestrial &amp; Aerial</c:v>
                </c:pt>
              </c:strCache>
            </c:strRef>
          </c:tx>
          <c:spPr>
            <a:solidFill>
              <a:schemeClr val="accent2">
                <a:lumMod val="60000"/>
              </a:schemeClr>
            </a:solidFill>
            <a:ln w="25400">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SR_cost_per_minute_forecast!$C$122:$L$122</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7-0596-4857-8145-4F086E14FA9C}"/>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r"/>
      <c:layout>
        <c:manualLayout>
          <c:xMode val="edge"/>
          <c:yMode val="edge"/>
          <c:x val="4.4387242158854021E-2"/>
          <c:y val="0.77799516251514711"/>
          <c:w val="0.91285533192475909"/>
          <c:h val="0.1898369369539180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b="0" i="0" baseline="0">
                <a:effectLst/>
              </a:rPr>
              <a:t>Total cost by use case (Baseline demand scenario) </a:t>
            </a:r>
            <a:r>
              <a:rPr lang="en-US" sz="1200" b="0" i="0" u="none" strike="noStrike" baseline="0">
                <a:effectLst/>
              </a:rPr>
              <a:t>(60% profit margin)</a:t>
            </a:r>
            <a:endParaRPr lang="en-US" sz="1200">
              <a:effectLst/>
            </a:endParaRP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5591303187231501"/>
          <c:y val="0.14037169986104678"/>
          <c:w val="0.81213044486907282"/>
          <c:h val="0.57779952138335644"/>
        </c:manualLayout>
      </c:layout>
      <c:areaChart>
        <c:grouping val="stacked"/>
        <c:varyColors val="0"/>
        <c:ser>
          <c:idx val="0"/>
          <c:order val="0"/>
          <c:tx>
            <c:strRef>
              <c:f>SR_cost_per_minute_forecast!$B$133</c:f>
              <c:strCache>
                <c:ptCount val="1"/>
                <c:pt idx="0">
                  <c:v>Human Space Flight</c:v>
                </c:pt>
              </c:strCache>
            </c:strRef>
          </c:tx>
          <c:spPr>
            <a:solidFill>
              <a:schemeClr val="accent1"/>
            </a:solidFill>
            <a:ln>
              <a:noFill/>
            </a:ln>
            <a:effectLst/>
          </c:spPr>
          <c:cat>
            <c:numRef>
              <c:f>SR_cost_per_minute_forecast!$C$76:$L$76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SR_cost_per_minute_forecast!$C$133:$L$133</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FDBE-4A40-BC17-2AD2F5A7B7AE}"/>
            </c:ext>
          </c:extLst>
        </c:ser>
        <c:ser>
          <c:idx val="1"/>
          <c:order val="1"/>
          <c:tx>
            <c:strRef>
              <c:f>SR_cost_per_minute_forecast!$B$134</c:f>
              <c:strCache>
                <c:ptCount val="1"/>
                <c:pt idx="0">
                  <c:v>Near Earth Robotic - LEO Science</c:v>
                </c:pt>
              </c:strCache>
            </c:strRef>
          </c:tx>
          <c:spPr>
            <a:solidFill>
              <a:schemeClr val="accent2"/>
            </a:solidFill>
            <a:ln>
              <a:noFill/>
            </a:ln>
            <a:effectLst/>
          </c:spPr>
          <c:cat>
            <c:numRef>
              <c:f>SR_cost_per_minute_forecast!$C$76:$L$76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SR_cost_per_minute_forecast!$C$134:$L$134</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FDBE-4A40-BC17-2AD2F5A7B7AE}"/>
            </c:ext>
          </c:extLst>
        </c:ser>
        <c:ser>
          <c:idx val="2"/>
          <c:order val="2"/>
          <c:tx>
            <c:strRef>
              <c:f>SR_cost_per_minute_forecast!$B$135</c:f>
              <c:strCache>
                <c:ptCount val="1"/>
                <c:pt idx="0">
                  <c:v>Near Earth Robotic - GEO and Near Earth</c:v>
                </c:pt>
              </c:strCache>
            </c:strRef>
          </c:tx>
          <c:spPr>
            <a:solidFill>
              <a:schemeClr val="accent3"/>
            </a:solidFill>
            <a:ln>
              <a:noFill/>
            </a:ln>
            <a:effectLst/>
          </c:spPr>
          <c:cat>
            <c:numRef>
              <c:f>SR_cost_per_minute_forecast!$C$76:$L$76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SR_cost_per_minute_forecast!$C$135:$L$135</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2-FDBE-4A40-BC17-2AD2F5A7B7AE}"/>
            </c:ext>
          </c:extLst>
        </c:ser>
        <c:ser>
          <c:idx val="3"/>
          <c:order val="3"/>
          <c:tx>
            <c:strRef>
              <c:f>SR_cost_per_minute_forecast!$B$136</c:f>
              <c:strCache>
                <c:ptCount val="1"/>
                <c:pt idx="0">
                  <c:v>Deep Space Robotic</c:v>
                </c:pt>
              </c:strCache>
            </c:strRef>
          </c:tx>
          <c:spPr>
            <a:solidFill>
              <a:schemeClr val="accent4"/>
            </a:solidFill>
            <a:ln w="25400">
              <a:noFill/>
            </a:ln>
            <a:effectLst/>
          </c:spPr>
          <c:cat>
            <c:numRef>
              <c:f>SR_cost_per_minute_forecast!$C$76:$L$76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SR_cost_per_minute_forecast!$C$136:$L$136</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FDBE-4A40-BC17-2AD2F5A7B7AE}"/>
            </c:ext>
          </c:extLst>
        </c:ser>
        <c:ser>
          <c:idx val="4"/>
          <c:order val="4"/>
          <c:tx>
            <c:strRef>
              <c:f>SR_cost_per_minute_forecast!$B$137</c:f>
              <c:strCache>
                <c:ptCount val="1"/>
                <c:pt idx="0">
                  <c:v>Near Earth Robotic - Low Latency &amp; Complex Needs</c:v>
                </c:pt>
              </c:strCache>
            </c:strRef>
          </c:tx>
          <c:spPr>
            <a:solidFill>
              <a:schemeClr val="accent5"/>
            </a:solidFill>
            <a:ln w="25400">
              <a:noFill/>
            </a:ln>
            <a:effectLst/>
          </c:spPr>
          <c:cat>
            <c:numRef>
              <c:f>SR_cost_per_minute_forecast!$C$76:$L$76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SR_cost_per_minute_forecast!$C$137:$L$137</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FDBE-4A40-BC17-2AD2F5A7B7AE}"/>
            </c:ext>
          </c:extLst>
        </c:ser>
        <c:ser>
          <c:idx val="5"/>
          <c:order val="5"/>
          <c:tx>
            <c:strRef>
              <c:f>SR_cost_per_minute_forecast!$B$138</c:f>
              <c:strCache>
                <c:ptCount val="1"/>
                <c:pt idx="0">
                  <c:v>Mission Operations</c:v>
                </c:pt>
              </c:strCache>
            </c:strRef>
          </c:tx>
          <c:spPr>
            <a:solidFill>
              <a:schemeClr val="accent6"/>
            </a:solidFill>
            <a:ln w="25400">
              <a:noFill/>
            </a:ln>
            <a:effectLst/>
          </c:spPr>
          <c:cat>
            <c:numRef>
              <c:f>SR_cost_per_minute_forecast!$C$76:$L$76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SR_cost_per_minute_forecast!$C$138:$L$138</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FDBE-4A40-BC17-2AD2F5A7B7AE}"/>
            </c:ext>
          </c:extLst>
        </c:ser>
        <c:ser>
          <c:idx val="6"/>
          <c:order val="6"/>
          <c:tx>
            <c:strRef>
              <c:f>SR_cost_per_minute_forecast!$B$139</c:f>
              <c:strCache>
                <c:ptCount val="1"/>
                <c:pt idx="0">
                  <c:v>Launch Events</c:v>
                </c:pt>
              </c:strCache>
            </c:strRef>
          </c:tx>
          <c:spPr>
            <a:solidFill>
              <a:schemeClr val="accent1">
                <a:lumMod val="60000"/>
              </a:schemeClr>
            </a:solidFill>
            <a:ln w="25400">
              <a:noFill/>
            </a:ln>
            <a:effectLst/>
          </c:spPr>
          <c:cat>
            <c:numRef>
              <c:f>SR_cost_per_minute_forecast!$C$76:$L$76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SR_cost_per_minute_forecast!$C$139:$L$139</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6-FDBE-4A40-BC17-2AD2F5A7B7AE}"/>
            </c:ext>
          </c:extLst>
        </c:ser>
        <c:ser>
          <c:idx val="7"/>
          <c:order val="7"/>
          <c:tx>
            <c:strRef>
              <c:f>SR_cost_per_minute_forecast!$B$140</c:f>
              <c:strCache>
                <c:ptCount val="1"/>
                <c:pt idx="0">
                  <c:v>Terrestrial &amp; Aerial</c:v>
                </c:pt>
              </c:strCache>
            </c:strRef>
          </c:tx>
          <c:spPr>
            <a:solidFill>
              <a:schemeClr val="accent2">
                <a:lumMod val="60000"/>
              </a:schemeClr>
            </a:solidFill>
            <a:ln w="25400">
              <a:noFill/>
            </a:ln>
            <a:effectLst/>
          </c:spPr>
          <c:cat>
            <c:numRef>
              <c:f>SR_cost_per_minute_forecast!$C$76:$L$76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SR_cost_per_minute_forecast!$C$140:$L$140</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7-FDBE-4A40-BC17-2AD2F5A7B7AE}"/>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b="0" i="0" baseline="0">
                <a:effectLst/>
              </a:rPr>
              <a:t>Total cost by use case (High demand scenario) </a:t>
            </a:r>
            <a:r>
              <a:rPr lang="en-US" sz="1200" b="0" i="0" u="none" strike="noStrike" baseline="0">
                <a:effectLst/>
              </a:rPr>
              <a:t>(60% profit margin)</a:t>
            </a:r>
            <a:endParaRPr lang="en-US" sz="1200">
              <a:effectLst/>
            </a:endParaRP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6648066522503069"/>
          <c:y val="0.13755100539470003"/>
          <c:w val="0.80156281151635722"/>
          <c:h val="0.56663816329744165"/>
        </c:manualLayout>
      </c:layout>
      <c:areaChart>
        <c:grouping val="stacked"/>
        <c:varyColors val="0"/>
        <c:ser>
          <c:idx val="0"/>
          <c:order val="0"/>
          <c:tx>
            <c:strRef>
              <c:f>SR_cost_per_minute_forecast!$B$151</c:f>
              <c:strCache>
                <c:ptCount val="1"/>
                <c:pt idx="0">
                  <c:v>Human Space Flight</c:v>
                </c:pt>
              </c:strCache>
            </c:strRef>
          </c:tx>
          <c:spPr>
            <a:solidFill>
              <a:schemeClr val="accent1"/>
            </a:solidFill>
            <a:ln>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SR_cost_per_minute_forecast!$C$151:$L$151</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CB1F-4D62-8336-FDBCF585C346}"/>
            </c:ext>
          </c:extLst>
        </c:ser>
        <c:ser>
          <c:idx val="1"/>
          <c:order val="1"/>
          <c:tx>
            <c:strRef>
              <c:f>SR_cost_per_minute_forecast!$B$152</c:f>
              <c:strCache>
                <c:ptCount val="1"/>
                <c:pt idx="0">
                  <c:v>Near Earth Robotic - LEO Science</c:v>
                </c:pt>
              </c:strCache>
            </c:strRef>
          </c:tx>
          <c:spPr>
            <a:solidFill>
              <a:schemeClr val="accent2"/>
            </a:solidFill>
            <a:ln>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SR_cost_per_minute_forecast!$C$152:$L$152</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CB1F-4D62-8336-FDBCF585C346}"/>
            </c:ext>
          </c:extLst>
        </c:ser>
        <c:ser>
          <c:idx val="2"/>
          <c:order val="2"/>
          <c:tx>
            <c:strRef>
              <c:f>SR_cost_per_minute_forecast!$B$153</c:f>
              <c:strCache>
                <c:ptCount val="1"/>
                <c:pt idx="0">
                  <c:v>Near Earth Robotic - GEO and Near Earth</c:v>
                </c:pt>
              </c:strCache>
            </c:strRef>
          </c:tx>
          <c:spPr>
            <a:solidFill>
              <a:schemeClr val="accent3"/>
            </a:solidFill>
            <a:ln>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SR_cost_per_minute_forecast!$C$153:$L$153</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2-CB1F-4D62-8336-FDBCF585C346}"/>
            </c:ext>
          </c:extLst>
        </c:ser>
        <c:ser>
          <c:idx val="3"/>
          <c:order val="3"/>
          <c:tx>
            <c:strRef>
              <c:f>SR_cost_per_minute_forecast!$B$154</c:f>
              <c:strCache>
                <c:ptCount val="1"/>
                <c:pt idx="0">
                  <c:v>Deep Space Robotic</c:v>
                </c:pt>
              </c:strCache>
            </c:strRef>
          </c:tx>
          <c:spPr>
            <a:solidFill>
              <a:schemeClr val="accent4"/>
            </a:solidFill>
            <a:ln w="25400">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SR_cost_per_minute_forecast!$C$154:$L$154</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CB1F-4D62-8336-FDBCF585C346}"/>
            </c:ext>
          </c:extLst>
        </c:ser>
        <c:ser>
          <c:idx val="4"/>
          <c:order val="4"/>
          <c:tx>
            <c:strRef>
              <c:f>SR_cost_per_minute_forecast!$B$155</c:f>
              <c:strCache>
                <c:ptCount val="1"/>
                <c:pt idx="0">
                  <c:v>Near Earth Robotic - Low Latency &amp; Complex Needs</c:v>
                </c:pt>
              </c:strCache>
            </c:strRef>
          </c:tx>
          <c:spPr>
            <a:solidFill>
              <a:schemeClr val="accent5"/>
            </a:solidFill>
            <a:ln w="25400">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SR_cost_per_minute_forecast!$C$155:$L$155</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CB1F-4D62-8336-FDBCF585C346}"/>
            </c:ext>
          </c:extLst>
        </c:ser>
        <c:ser>
          <c:idx val="5"/>
          <c:order val="5"/>
          <c:tx>
            <c:strRef>
              <c:f>SR_cost_per_minute_forecast!$B$156</c:f>
              <c:strCache>
                <c:ptCount val="1"/>
                <c:pt idx="0">
                  <c:v>Mission Operations</c:v>
                </c:pt>
              </c:strCache>
            </c:strRef>
          </c:tx>
          <c:spPr>
            <a:solidFill>
              <a:schemeClr val="accent6"/>
            </a:solidFill>
            <a:ln w="25400">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SR_cost_per_minute_forecast!$C$156:$L$156</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CB1F-4D62-8336-FDBCF585C346}"/>
            </c:ext>
          </c:extLst>
        </c:ser>
        <c:ser>
          <c:idx val="6"/>
          <c:order val="6"/>
          <c:tx>
            <c:strRef>
              <c:f>SR_cost_per_minute_forecast!$B$157</c:f>
              <c:strCache>
                <c:ptCount val="1"/>
                <c:pt idx="0">
                  <c:v>Launch Events</c:v>
                </c:pt>
              </c:strCache>
            </c:strRef>
          </c:tx>
          <c:spPr>
            <a:solidFill>
              <a:schemeClr val="accent1">
                <a:lumMod val="60000"/>
              </a:schemeClr>
            </a:solidFill>
            <a:ln w="25400">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SR_cost_per_minute_forecast!$C$157:$L$157</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6-CB1F-4D62-8336-FDBCF585C346}"/>
            </c:ext>
          </c:extLst>
        </c:ser>
        <c:ser>
          <c:idx val="7"/>
          <c:order val="7"/>
          <c:tx>
            <c:strRef>
              <c:f>SR_cost_per_minute_forecast!$B$158</c:f>
              <c:strCache>
                <c:ptCount val="1"/>
                <c:pt idx="0">
                  <c:v>Terrestrial &amp; Aerial</c:v>
                </c:pt>
              </c:strCache>
            </c:strRef>
          </c:tx>
          <c:spPr>
            <a:solidFill>
              <a:schemeClr val="accent2">
                <a:lumMod val="60000"/>
              </a:schemeClr>
            </a:solidFill>
            <a:ln w="25400">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SR_cost_per_minute_forecast!$C$158:$L$158</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7-CB1F-4D62-8336-FDBCF585C346}"/>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a:t>Total cost by use case (Low demand scenario) </a:t>
            </a:r>
            <a:r>
              <a:rPr lang="en-US" sz="1200" b="0" i="0" u="none" strike="noStrike" baseline="0">
                <a:effectLst/>
              </a:rPr>
              <a:t>(80% profit margin)</a:t>
            </a:r>
            <a:endParaRPr lang="en-US" sz="1200"/>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6580466952930259"/>
          <c:y val="0.18126685397946379"/>
          <c:w val="0.80223880721208529"/>
          <c:h val="0.48459830760805012"/>
        </c:manualLayout>
      </c:layout>
      <c:areaChart>
        <c:grouping val="stacked"/>
        <c:varyColors val="0"/>
        <c:ser>
          <c:idx val="0"/>
          <c:order val="0"/>
          <c:tx>
            <c:strRef>
              <c:f>SR_cost_per_minute_forecast!$B$171</c:f>
              <c:strCache>
                <c:ptCount val="1"/>
                <c:pt idx="0">
                  <c:v>Human Space Flight</c:v>
                </c:pt>
              </c:strCache>
            </c:strRef>
          </c:tx>
          <c:spPr>
            <a:solidFill>
              <a:schemeClr val="accent1"/>
            </a:solidFill>
            <a:ln>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SR_cost_per_minute_forecast!$C$171:$L$171</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2E4D-4CF4-88E5-346CD4C27651}"/>
            </c:ext>
          </c:extLst>
        </c:ser>
        <c:ser>
          <c:idx val="1"/>
          <c:order val="1"/>
          <c:tx>
            <c:strRef>
              <c:f>SR_cost_per_minute_forecast!$B$172</c:f>
              <c:strCache>
                <c:ptCount val="1"/>
                <c:pt idx="0">
                  <c:v>Near Earth Robotic - LEO Science</c:v>
                </c:pt>
              </c:strCache>
            </c:strRef>
          </c:tx>
          <c:spPr>
            <a:solidFill>
              <a:schemeClr val="accent2"/>
            </a:solidFill>
            <a:ln>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SR_cost_per_minute_forecast!$C$172:$L$172</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2E4D-4CF4-88E5-346CD4C27651}"/>
            </c:ext>
          </c:extLst>
        </c:ser>
        <c:ser>
          <c:idx val="2"/>
          <c:order val="2"/>
          <c:tx>
            <c:strRef>
              <c:f>SR_cost_per_minute_forecast!$B$173</c:f>
              <c:strCache>
                <c:ptCount val="1"/>
                <c:pt idx="0">
                  <c:v>Near Earth Robotic - GEO and Near Earth</c:v>
                </c:pt>
              </c:strCache>
            </c:strRef>
          </c:tx>
          <c:spPr>
            <a:solidFill>
              <a:schemeClr val="accent3"/>
            </a:solidFill>
            <a:ln>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SR_cost_per_minute_forecast!$C$173:$L$173</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2-2E4D-4CF4-88E5-346CD4C27651}"/>
            </c:ext>
          </c:extLst>
        </c:ser>
        <c:ser>
          <c:idx val="3"/>
          <c:order val="3"/>
          <c:tx>
            <c:strRef>
              <c:f>SR_cost_per_minute_forecast!$B$174</c:f>
              <c:strCache>
                <c:ptCount val="1"/>
                <c:pt idx="0">
                  <c:v>Deep Space Robotic</c:v>
                </c:pt>
              </c:strCache>
            </c:strRef>
          </c:tx>
          <c:spPr>
            <a:solidFill>
              <a:schemeClr val="accent4"/>
            </a:solidFill>
            <a:ln w="25400">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SR_cost_per_minute_forecast!$C$174:$L$174</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2E4D-4CF4-88E5-346CD4C27651}"/>
            </c:ext>
          </c:extLst>
        </c:ser>
        <c:ser>
          <c:idx val="4"/>
          <c:order val="4"/>
          <c:tx>
            <c:strRef>
              <c:f>SR_cost_per_minute_forecast!$B$175</c:f>
              <c:strCache>
                <c:ptCount val="1"/>
                <c:pt idx="0">
                  <c:v>Near Earth Robotic - Low Latency &amp; Complex Needs</c:v>
                </c:pt>
              </c:strCache>
            </c:strRef>
          </c:tx>
          <c:spPr>
            <a:solidFill>
              <a:schemeClr val="accent5"/>
            </a:solidFill>
            <a:ln w="25400">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SR_cost_per_minute_forecast!$C$175:$L$175</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2E4D-4CF4-88E5-346CD4C27651}"/>
            </c:ext>
          </c:extLst>
        </c:ser>
        <c:ser>
          <c:idx val="5"/>
          <c:order val="5"/>
          <c:tx>
            <c:strRef>
              <c:f>SR_cost_per_minute_forecast!$B$176</c:f>
              <c:strCache>
                <c:ptCount val="1"/>
                <c:pt idx="0">
                  <c:v>Mission Operations</c:v>
                </c:pt>
              </c:strCache>
            </c:strRef>
          </c:tx>
          <c:spPr>
            <a:solidFill>
              <a:schemeClr val="accent6"/>
            </a:solidFill>
            <a:ln w="25400">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SR_cost_per_minute_forecast!$C$176:$L$176</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2E4D-4CF4-88E5-346CD4C27651}"/>
            </c:ext>
          </c:extLst>
        </c:ser>
        <c:ser>
          <c:idx val="6"/>
          <c:order val="6"/>
          <c:tx>
            <c:strRef>
              <c:f>SR_cost_per_minute_forecast!$B$177</c:f>
              <c:strCache>
                <c:ptCount val="1"/>
                <c:pt idx="0">
                  <c:v>Launch Events</c:v>
                </c:pt>
              </c:strCache>
            </c:strRef>
          </c:tx>
          <c:spPr>
            <a:solidFill>
              <a:schemeClr val="accent1">
                <a:lumMod val="60000"/>
              </a:schemeClr>
            </a:solidFill>
            <a:ln w="25400">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SR_cost_per_minute_forecast!$C$177:$L$177</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6-2E4D-4CF4-88E5-346CD4C27651}"/>
            </c:ext>
          </c:extLst>
        </c:ser>
        <c:ser>
          <c:idx val="7"/>
          <c:order val="7"/>
          <c:tx>
            <c:strRef>
              <c:f>SR_cost_per_minute_forecast!$B$178</c:f>
              <c:strCache>
                <c:ptCount val="1"/>
                <c:pt idx="0">
                  <c:v>Terrestrial &amp; Aerial</c:v>
                </c:pt>
              </c:strCache>
            </c:strRef>
          </c:tx>
          <c:spPr>
            <a:solidFill>
              <a:schemeClr val="accent2">
                <a:lumMod val="60000"/>
              </a:schemeClr>
            </a:solidFill>
            <a:ln w="25400">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SR_cost_per_minute_forecast!$C$178:$L$178</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7-2E4D-4CF4-88E5-346CD4C27651}"/>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r"/>
      <c:layout>
        <c:manualLayout>
          <c:xMode val="edge"/>
          <c:yMode val="edge"/>
          <c:x val="4.4387242158854021E-2"/>
          <c:y val="0.77799516251514711"/>
          <c:w val="0.91285533192475909"/>
          <c:h val="0.1898369369539180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b="0" i="0" baseline="0">
                <a:effectLst/>
              </a:rPr>
              <a:t>Total cost by use case (Baseline demand scenario) </a:t>
            </a:r>
            <a:r>
              <a:rPr lang="en-US" sz="1200" b="0" i="0" u="none" strike="noStrike" baseline="0">
                <a:effectLst/>
              </a:rPr>
              <a:t>(80% profit margin)</a:t>
            </a:r>
            <a:endParaRPr lang="en-US" sz="1200">
              <a:effectLst/>
            </a:endParaRP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5591303187231501"/>
          <c:y val="0.14037169986104678"/>
          <c:w val="0.81213044486907282"/>
          <c:h val="0.57779952138335644"/>
        </c:manualLayout>
      </c:layout>
      <c:areaChart>
        <c:grouping val="stacked"/>
        <c:varyColors val="0"/>
        <c:ser>
          <c:idx val="0"/>
          <c:order val="0"/>
          <c:tx>
            <c:strRef>
              <c:f>SR_cost_per_minute_forecast!$B$189</c:f>
              <c:strCache>
                <c:ptCount val="1"/>
                <c:pt idx="0">
                  <c:v>Human Space Flight</c:v>
                </c:pt>
              </c:strCache>
            </c:strRef>
          </c:tx>
          <c:spPr>
            <a:solidFill>
              <a:schemeClr val="accent1"/>
            </a:solidFill>
            <a:ln>
              <a:noFill/>
            </a:ln>
            <a:effectLst/>
          </c:spPr>
          <c:cat>
            <c:numRef>
              <c:f>SR_cost_per_minute_forecast!$D$76:$M$76</c:f>
              <c:numCache>
                <c:formatCode>General</c:formatCode>
                <c:ptCount val="10"/>
                <c:pt idx="0">
                  <c:v>2022</c:v>
                </c:pt>
                <c:pt idx="1">
                  <c:v>2023</c:v>
                </c:pt>
                <c:pt idx="2">
                  <c:v>2024</c:v>
                </c:pt>
                <c:pt idx="3">
                  <c:v>2025</c:v>
                </c:pt>
                <c:pt idx="4">
                  <c:v>2026</c:v>
                </c:pt>
                <c:pt idx="5">
                  <c:v>2027</c:v>
                </c:pt>
                <c:pt idx="6">
                  <c:v>2028</c:v>
                </c:pt>
                <c:pt idx="7">
                  <c:v>2029</c:v>
                </c:pt>
                <c:pt idx="8">
                  <c:v>2030</c:v>
                </c:pt>
                <c:pt idx="9">
                  <c:v>2031</c:v>
                </c:pt>
              </c:numCache>
            </c:numRef>
          </c:cat>
          <c:val>
            <c:numRef>
              <c:f>SR_cost_per_minute_forecast!$D$189:$M$189</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5F84-4765-B3A5-A3B7BB5D40C3}"/>
            </c:ext>
          </c:extLst>
        </c:ser>
        <c:ser>
          <c:idx val="1"/>
          <c:order val="1"/>
          <c:tx>
            <c:strRef>
              <c:f>SR_cost_per_minute_forecast!$B$190</c:f>
              <c:strCache>
                <c:ptCount val="1"/>
                <c:pt idx="0">
                  <c:v>Near Earth Robotic - LEO Science</c:v>
                </c:pt>
              </c:strCache>
            </c:strRef>
          </c:tx>
          <c:spPr>
            <a:solidFill>
              <a:schemeClr val="accent2"/>
            </a:solidFill>
            <a:ln>
              <a:noFill/>
            </a:ln>
            <a:effectLst/>
          </c:spPr>
          <c:cat>
            <c:numRef>
              <c:f>SR_cost_per_minute_forecast!$D$76:$M$76</c:f>
              <c:numCache>
                <c:formatCode>General</c:formatCode>
                <c:ptCount val="10"/>
                <c:pt idx="0">
                  <c:v>2022</c:v>
                </c:pt>
                <c:pt idx="1">
                  <c:v>2023</c:v>
                </c:pt>
                <c:pt idx="2">
                  <c:v>2024</c:v>
                </c:pt>
                <c:pt idx="3">
                  <c:v>2025</c:v>
                </c:pt>
                <c:pt idx="4">
                  <c:v>2026</c:v>
                </c:pt>
                <c:pt idx="5">
                  <c:v>2027</c:v>
                </c:pt>
                <c:pt idx="6">
                  <c:v>2028</c:v>
                </c:pt>
                <c:pt idx="7">
                  <c:v>2029</c:v>
                </c:pt>
                <c:pt idx="8">
                  <c:v>2030</c:v>
                </c:pt>
                <c:pt idx="9">
                  <c:v>2031</c:v>
                </c:pt>
              </c:numCache>
            </c:numRef>
          </c:cat>
          <c:val>
            <c:numRef>
              <c:f>SR_cost_per_minute_forecast!$D$190:$M$190</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5F84-4765-B3A5-A3B7BB5D40C3}"/>
            </c:ext>
          </c:extLst>
        </c:ser>
        <c:ser>
          <c:idx val="2"/>
          <c:order val="2"/>
          <c:tx>
            <c:strRef>
              <c:f>SR_cost_per_minute_forecast!$B$191</c:f>
              <c:strCache>
                <c:ptCount val="1"/>
                <c:pt idx="0">
                  <c:v>Near Earth Robotic - GEO and Near Earth</c:v>
                </c:pt>
              </c:strCache>
            </c:strRef>
          </c:tx>
          <c:spPr>
            <a:solidFill>
              <a:schemeClr val="accent3"/>
            </a:solidFill>
            <a:ln>
              <a:noFill/>
            </a:ln>
            <a:effectLst/>
          </c:spPr>
          <c:cat>
            <c:numRef>
              <c:f>SR_cost_per_minute_forecast!$D$76:$M$76</c:f>
              <c:numCache>
                <c:formatCode>General</c:formatCode>
                <c:ptCount val="10"/>
                <c:pt idx="0">
                  <c:v>2022</c:v>
                </c:pt>
                <c:pt idx="1">
                  <c:v>2023</c:v>
                </c:pt>
                <c:pt idx="2">
                  <c:v>2024</c:v>
                </c:pt>
                <c:pt idx="3">
                  <c:v>2025</c:v>
                </c:pt>
                <c:pt idx="4">
                  <c:v>2026</c:v>
                </c:pt>
                <c:pt idx="5">
                  <c:v>2027</c:v>
                </c:pt>
                <c:pt idx="6">
                  <c:v>2028</c:v>
                </c:pt>
                <c:pt idx="7">
                  <c:v>2029</c:v>
                </c:pt>
                <c:pt idx="8">
                  <c:v>2030</c:v>
                </c:pt>
                <c:pt idx="9">
                  <c:v>2031</c:v>
                </c:pt>
              </c:numCache>
            </c:numRef>
          </c:cat>
          <c:val>
            <c:numRef>
              <c:f>SR_cost_per_minute_forecast!$D$191:$M$191</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2-5F84-4765-B3A5-A3B7BB5D40C3}"/>
            </c:ext>
          </c:extLst>
        </c:ser>
        <c:ser>
          <c:idx val="3"/>
          <c:order val="3"/>
          <c:tx>
            <c:strRef>
              <c:f>SR_cost_per_minute_forecast!$B$192</c:f>
              <c:strCache>
                <c:ptCount val="1"/>
                <c:pt idx="0">
                  <c:v>Deep Space Robotic</c:v>
                </c:pt>
              </c:strCache>
            </c:strRef>
          </c:tx>
          <c:spPr>
            <a:solidFill>
              <a:schemeClr val="accent4"/>
            </a:solidFill>
            <a:ln w="25400">
              <a:noFill/>
            </a:ln>
            <a:effectLst/>
          </c:spPr>
          <c:cat>
            <c:numRef>
              <c:f>SR_cost_per_minute_forecast!$D$76:$M$76</c:f>
              <c:numCache>
                <c:formatCode>General</c:formatCode>
                <c:ptCount val="10"/>
                <c:pt idx="0">
                  <c:v>2022</c:v>
                </c:pt>
                <c:pt idx="1">
                  <c:v>2023</c:v>
                </c:pt>
                <c:pt idx="2">
                  <c:v>2024</c:v>
                </c:pt>
                <c:pt idx="3">
                  <c:v>2025</c:v>
                </c:pt>
                <c:pt idx="4">
                  <c:v>2026</c:v>
                </c:pt>
                <c:pt idx="5">
                  <c:v>2027</c:v>
                </c:pt>
                <c:pt idx="6">
                  <c:v>2028</c:v>
                </c:pt>
                <c:pt idx="7">
                  <c:v>2029</c:v>
                </c:pt>
                <c:pt idx="8">
                  <c:v>2030</c:v>
                </c:pt>
                <c:pt idx="9">
                  <c:v>2031</c:v>
                </c:pt>
              </c:numCache>
            </c:numRef>
          </c:cat>
          <c:val>
            <c:numRef>
              <c:f>SR_cost_per_minute_forecast!$D$192:$M$192</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5F84-4765-B3A5-A3B7BB5D40C3}"/>
            </c:ext>
          </c:extLst>
        </c:ser>
        <c:ser>
          <c:idx val="4"/>
          <c:order val="4"/>
          <c:tx>
            <c:strRef>
              <c:f>SR_cost_per_minute_forecast!$B$193</c:f>
              <c:strCache>
                <c:ptCount val="1"/>
                <c:pt idx="0">
                  <c:v>Near Earth Robotic - Low Latency &amp; Complex Needs</c:v>
                </c:pt>
              </c:strCache>
            </c:strRef>
          </c:tx>
          <c:spPr>
            <a:solidFill>
              <a:schemeClr val="accent5"/>
            </a:solidFill>
            <a:ln w="25400">
              <a:noFill/>
            </a:ln>
            <a:effectLst/>
          </c:spPr>
          <c:cat>
            <c:numRef>
              <c:f>SR_cost_per_minute_forecast!$D$76:$M$76</c:f>
              <c:numCache>
                <c:formatCode>General</c:formatCode>
                <c:ptCount val="10"/>
                <c:pt idx="0">
                  <c:v>2022</c:v>
                </c:pt>
                <c:pt idx="1">
                  <c:v>2023</c:v>
                </c:pt>
                <c:pt idx="2">
                  <c:v>2024</c:v>
                </c:pt>
                <c:pt idx="3">
                  <c:v>2025</c:v>
                </c:pt>
                <c:pt idx="4">
                  <c:v>2026</c:v>
                </c:pt>
                <c:pt idx="5">
                  <c:v>2027</c:v>
                </c:pt>
                <c:pt idx="6">
                  <c:v>2028</c:v>
                </c:pt>
                <c:pt idx="7">
                  <c:v>2029</c:v>
                </c:pt>
                <c:pt idx="8">
                  <c:v>2030</c:v>
                </c:pt>
                <c:pt idx="9">
                  <c:v>2031</c:v>
                </c:pt>
              </c:numCache>
            </c:numRef>
          </c:cat>
          <c:val>
            <c:numRef>
              <c:f>SR_cost_per_minute_forecast!$D$193:$M$193</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5F84-4765-B3A5-A3B7BB5D40C3}"/>
            </c:ext>
          </c:extLst>
        </c:ser>
        <c:ser>
          <c:idx val="5"/>
          <c:order val="5"/>
          <c:tx>
            <c:strRef>
              <c:f>SR_cost_per_minute_forecast!$B$194</c:f>
              <c:strCache>
                <c:ptCount val="1"/>
                <c:pt idx="0">
                  <c:v>Mission Operations</c:v>
                </c:pt>
              </c:strCache>
            </c:strRef>
          </c:tx>
          <c:spPr>
            <a:solidFill>
              <a:schemeClr val="accent6"/>
            </a:solidFill>
            <a:ln w="25400">
              <a:noFill/>
            </a:ln>
            <a:effectLst/>
          </c:spPr>
          <c:cat>
            <c:numRef>
              <c:f>SR_cost_per_minute_forecast!$D$76:$M$76</c:f>
              <c:numCache>
                <c:formatCode>General</c:formatCode>
                <c:ptCount val="10"/>
                <c:pt idx="0">
                  <c:v>2022</c:v>
                </c:pt>
                <c:pt idx="1">
                  <c:v>2023</c:v>
                </c:pt>
                <c:pt idx="2">
                  <c:v>2024</c:v>
                </c:pt>
                <c:pt idx="3">
                  <c:v>2025</c:v>
                </c:pt>
                <c:pt idx="4">
                  <c:v>2026</c:v>
                </c:pt>
                <c:pt idx="5">
                  <c:v>2027</c:v>
                </c:pt>
                <c:pt idx="6">
                  <c:v>2028</c:v>
                </c:pt>
                <c:pt idx="7">
                  <c:v>2029</c:v>
                </c:pt>
                <c:pt idx="8">
                  <c:v>2030</c:v>
                </c:pt>
                <c:pt idx="9">
                  <c:v>2031</c:v>
                </c:pt>
              </c:numCache>
            </c:numRef>
          </c:cat>
          <c:val>
            <c:numRef>
              <c:f>SR_cost_per_minute_forecast!$D$194:$M$194</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5F84-4765-B3A5-A3B7BB5D40C3}"/>
            </c:ext>
          </c:extLst>
        </c:ser>
        <c:ser>
          <c:idx val="6"/>
          <c:order val="6"/>
          <c:tx>
            <c:strRef>
              <c:f>SR_cost_per_minute_forecast!$B$195</c:f>
              <c:strCache>
                <c:ptCount val="1"/>
                <c:pt idx="0">
                  <c:v>Launch Events</c:v>
                </c:pt>
              </c:strCache>
            </c:strRef>
          </c:tx>
          <c:spPr>
            <a:solidFill>
              <a:schemeClr val="accent1">
                <a:lumMod val="60000"/>
              </a:schemeClr>
            </a:solidFill>
            <a:ln w="25400">
              <a:noFill/>
            </a:ln>
            <a:effectLst/>
          </c:spPr>
          <c:cat>
            <c:numRef>
              <c:f>SR_cost_per_minute_forecast!$D$76:$M$76</c:f>
              <c:numCache>
                <c:formatCode>General</c:formatCode>
                <c:ptCount val="10"/>
                <c:pt idx="0">
                  <c:v>2022</c:v>
                </c:pt>
                <c:pt idx="1">
                  <c:v>2023</c:v>
                </c:pt>
                <c:pt idx="2">
                  <c:v>2024</c:v>
                </c:pt>
                <c:pt idx="3">
                  <c:v>2025</c:v>
                </c:pt>
                <c:pt idx="4">
                  <c:v>2026</c:v>
                </c:pt>
                <c:pt idx="5">
                  <c:v>2027</c:v>
                </c:pt>
                <c:pt idx="6">
                  <c:v>2028</c:v>
                </c:pt>
                <c:pt idx="7">
                  <c:v>2029</c:v>
                </c:pt>
                <c:pt idx="8">
                  <c:v>2030</c:v>
                </c:pt>
                <c:pt idx="9">
                  <c:v>2031</c:v>
                </c:pt>
              </c:numCache>
            </c:numRef>
          </c:cat>
          <c:val>
            <c:numRef>
              <c:f>SR_cost_per_minute_forecast!$D$195:$M$195</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6-5F84-4765-B3A5-A3B7BB5D40C3}"/>
            </c:ext>
          </c:extLst>
        </c:ser>
        <c:ser>
          <c:idx val="7"/>
          <c:order val="7"/>
          <c:tx>
            <c:strRef>
              <c:f>SR_cost_per_minute_forecast!$B$196</c:f>
              <c:strCache>
                <c:ptCount val="1"/>
                <c:pt idx="0">
                  <c:v>Terrestrial &amp; Aerial</c:v>
                </c:pt>
              </c:strCache>
            </c:strRef>
          </c:tx>
          <c:spPr>
            <a:solidFill>
              <a:schemeClr val="accent2">
                <a:lumMod val="60000"/>
              </a:schemeClr>
            </a:solidFill>
            <a:ln w="25400">
              <a:noFill/>
            </a:ln>
            <a:effectLst/>
          </c:spPr>
          <c:cat>
            <c:numRef>
              <c:f>SR_cost_per_minute_forecast!$D$76:$M$76</c:f>
              <c:numCache>
                <c:formatCode>General</c:formatCode>
                <c:ptCount val="10"/>
                <c:pt idx="0">
                  <c:v>2022</c:v>
                </c:pt>
                <c:pt idx="1">
                  <c:v>2023</c:v>
                </c:pt>
                <c:pt idx="2">
                  <c:v>2024</c:v>
                </c:pt>
                <c:pt idx="3">
                  <c:v>2025</c:v>
                </c:pt>
                <c:pt idx="4">
                  <c:v>2026</c:v>
                </c:pt>
                <c:pt idx="5">
                  <c:v>2027</c:v>
                </c:pt>
                <c:pt idx="6">
                  <c:v>2028</c:v>
                </c:pt>
                <c:pt idx="7">
                  <c:v>2029</c:v>
                </c:pt>
                <c:pt idx="8">
                  <c:v>2030</c:v>
                </c:pt>
                <c:pt idx="9">
                  <c:v>2031</c:v>
                </c:pt>
              </c:numCache>
            </c:numRef>
          </c:cat>
          <c:val>
            <c:numRef>
              <c:f>SR_cost_per_minute_forecast!$D$196:$M$196</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7-5F84-4765-B3A5-A3B7BB5D40C3}"/>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b="0" i="0" baseline="0">
                <a:effectLst/>
              </a:rPr>
              <a:t>Total cost by use case (High demand scenario) </a:t>
            </a:r>
            <a:r>
              <a:rPr lang="en-US" sz="1200" b="0" i="0" u="none" strike="noStrike" baseline="0">
                <a:effectLst/>
              </a:rPr>
              <a:t>(80% profit margin)</a:t>
            </a:r>
            <a:endParaRPr lang="en-US" sz="1200">
              <a:effectLst/>
            </a:endParaRP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6648066522503069"/>
          <c:y val="0.13755100539470003"/>
          <c:w val="0.80156281151635722"/>
          <c:h val="0.56663816329744165"/>
        </c:manualLayout>
      </c:layout>
      <c:areaChart>
        <c:grouping val="stacked"/>
        <c:varyColors val="0"/>
        <c:ser>
          <c:idx val="0"/>
          <c:order val="0"/>
          <c:tx>
            <c:strRef>
              <c:f>SR_cost_per_minute_forecast!$B$207</c:f>
              <c:strCache>
                <c:ptCount val="1"/>
                <c:pt idx="0">
                  <c:v>Human Space Flight</c:v>
                </c:pt>
              </c:strCache>
            </c:strRef>
          </c:tx>
          <c:spPr>
            <a:solidFill>
              <a:schemeClr val="accent1"/>
            </a:solidFill>
            <a:ln>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SR_cost_per_minute_forecast!$C$207:$L$207</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4777-402D-9719-71B2E2DFEB5A}"/>
            </c:ext>
          </c:extLst>
        </c:ser>
        <c:ser>
          <c:idx val="1"/>
          <c:order val="1"/>
          <c:tx>
            <c:strRef>
              <c:f>SR_cost_per_minute_forecast!$B$208</c:f>
              <c:strCache>
                <c:ptCount val="1"/>
                <c:pt idx="0">
                  <c:v>Near Earth Robotic - LEO Science</c:v>
                </c:pt>
              </c:strCache>
            </c:strRef>
          </c:tx>
          <c:spPr>
            <a:solidFill>
              <a:schemeClr val="accent2"/>
            </a:solidFill>
            <a:ln>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SR_cost_per_minute_forecast!$C$208:$L$208</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4777-402D-9719-71B2E2DFEB5A}"/>
            </c:ext>
          </c:extLst>
        </c:ser>
        <c:ser>
          <c:idx val="2"/>
          <c:order val="2"/>
          <c:tx>
            <c:strRef>
              <c:f>SR_cost_per_minute_forecast!$B$209</c:f>
              <c:strCache>
                <c:ptCount val="1"/>
                <c:pt idx="0">
                  <c:v>Near Earth Robotic - GEO and Near Earth</c:v>
                </c:pt>
              </c:strCache>
            </c:strRef>
          </c:tx>
          <c:spPr>
            <a:solidFill>
              <a:schemeClr val="accent3"/>
            </a:solidFill>
            <a:ln>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SR_cost_per_minute_forecast!$C$209:$L$209</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2-4777-402D-9719-71B2E2DFEB5A}"/>
            </c:ext>
          </c:extLst>
        </c:ser>
        <c:ser>
          <c:idx val="3"/>
          <c:order val="3"/>
          <c:tx>
            <c:strRef>
              <c:f>SR_cost_per_minute_forecast!$B$210</c:f>
              <c:strCache>
                <c:ptCount val="1"/>
                <c:pt idx="0">
                  <c:v>Deep Space Robotic</c:v>
                </c:pt>
              </c:strCache>
            </c:strRef>
          </c:tx>
          <c:spPr>
            <a:solidFill>
              <a:schemeClr val="accent4"/>
            </a:solidFill>
            <a:ln w="25400">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SR_cost_per_minute_forecast!$C$210:$L$210</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4777-402D-9719-71B2E2DFEB5A}"/>
            </c:ext>
          </c:extLst>
        </c:ser>
        <c:ser>
          <c:idx val="4"/>
          <c:order val="4"/>
          <c:tx>
            <c:strRef>
              <c:f>SR_cost_per_minute_forecast!$B$211</c:f>
              <c:strCache>
                <c:ptCount val="1"/>
                <c:pt idx="0">
                  <c:v>Near Earth Robotic - Low Latency &amp; Complex Needs</c:v>
                </c:pt>
              </c:strCache>
            </c:strRef>
          </c:tx>
          <c:spPr>
            <a:solidFill>
              <a:schemeClr val="accent5"/>
            </a:solidFill>
            <a:ln w="25400">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SR_cost_per_minute_forecast!$C$211:$L$211</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4777-402D-9719-71B2E2DFEB5A}"/>
            </c:ext>
          </c:extLst>
        </c:ser>
        <c:ser>
          <c:idx val="5"/>
          <c:order val="5"/>
          <c:tx>
            <c:strRef>
              <c:f>SR_cost_per_minute_forecast!$B$212</c:f>
              <c:strCache>
                <c:ptCount val="1"/>
                <c:pt idx="0">
                  <c:v>Mission Operations</c:v>
                </c:pt>
              </c:strCache>
            </c:strRef>
          </c:tx>
          <c:spPr>
            <a:solidFill>
              <a:schemeClr val="accent6"/>
            </a:solidFill>
            <a:ln w="25400">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SR_cost_per_minute_forecast!$C$212:$L$212</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4777-402D-9719-71B2E2DFEB5A}"/>
            </c:ext>
          </c:extLst>
        </c:ser>
        <c:ser>
          <c:idx val="6"/>
          <c:order val="6"/>
          <c:tx>
            <c:strRef>
              <c:f>SR_cost_per_minute_forecast!$B$213</c:f>
              <c:strCache>
                <c:ptCount val="1"/>
                <c:pt idx="0">
                  <c:v>Launch Events</c:v>
                </c:pt>
              </c:strCache>
            </c:strRef>
          </c:tx>
          <c:spPr>
            <a:solidFill>
              <a:schemeClr val="accent1">
                <a:lumMod val="60000"/>
              </a:schemeClr>
            </a:solidFill>
            <a:ln w="25400">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SR_cost_per_minute_forecast!$C$213:$L$213</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6-4777-402D-9719-71B2E2DFEB5A}"/>
            </c:ext>
          </c:extLst>
        </c:ser>
        <c:ser>
          <c:idx val="7"/>
          <c:order val="7"/>
          <c:tx>
            <c:strRef>
              <c:f>SR_cost_per_minute_forecast!$B$214</c:f>
              <c:strCache>
                <c:ptCount val="1"/>
                <c:pt idx="0">
                  <c:v>Terrestrial &amp; Aerial</c:v>
                </c:pt>
              </c:strCache>
            </c:strRef>
          </c:tx>
          <c:spPr>
            <a:solidFill>
              <a:schemeClr val="accent2">
                <a:lumMod val="60000"/>
              </a:schemeClr>
            </a:solidFill>
            <a:ln w="25400">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SR_cost_per_minute_forecast!$C$214:$L$214</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7-4777-402D-9719-71B2E2DFEB5A}"/>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SR Total aggregate cost by scenario </a:t>
            </a:r>
            <a:r>
              <a:rPr lang="en-US" sz="1400" b="0" i="0" u="none" strike="noStrike" baseline="0">
                <a:effectLst/>
              </a:rPr>
              <a:t>(60% profit margin)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SR_cost_per_minute_forecast!$B$113</c:f>
              <c:strCache>
                <c:ptCount val="1"/>
                <c:pt idx="0">
                  <c:v>Low Demand</c:v>
                </c:pt>
              </c:strCache>
            </c:strRef>
          </c:tx>
          <c:spPr>
            <a:ln w="28575" cap="rnd">
              <a:solidFill>
                <a:schemeClr val="accent1"/>
              </a:solidFill>
              <a:round/>
            </a:ln>
            <a:effectLst/>
          </c:spPr>
          <c:marker>
            <c:symbol val="none"/>
          </c:marker>
          <c:cat>
            <c:numRef>
              <c:f>SR_cost_per_minute_forecast!$C$132:$L$132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SR_cost_per_minute_forecast!$C$123:$L$123</c:f>
              <c:numCache>
                <c:formatCode>_(* #,##0_);_(* \(#,##0\);_(* "-"??_);_(@_)</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0-7DB8-46E4-A27E-8C39937CFCAC}"/>
            </c:ext>
          </c:extLst>
        </c:ser>
        <c:ser>
          <c:idx val="1"/>
          <c:order val="1"/>
          <c:tx>
            <c:strRef>
              <c:f>SR_cost_per_minute_forecast!$B$131</c:f>
              <c:strCache>
                <c:ptCount val="1"/>
                <c:pt idx="0">
                  <c:v>Baseline Demand</c:v>
                </c:pt>
              </c:strCache>
            </c:strRef>
          </c:tx>
          <c:spPr>
            <a:ln w="28575" cap="rnd">
              <a:solidFill>
                <a:schemeClr val="accent2"/>
              </a:solidFill>
              <a:round/>
            </a:ln>
            <a:effectLst/>
          </c:spPr>
          <c:marker>
            <c:symbol val="none"/>
          </c:marker>
          <c:cat>
            <c:numRef>
              <c:f>SR_cost_per_minute_forecast!$C$132:$L$132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SR_cost_per_minute_forecast!$C$141:$L$141</c:f>
              <c:numCache>
                <c:formatCode>_(* #,##0_);_(* \(#,##0\);_(* "-"??_);_(@_)</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1-7DB8-46E4-A27E-8C39937CFCAC}"/>
            </c:ext>
          </c:extLst>
        </c:ser>
        <c:ser>
          <c:idx val="2"/>
          <c:order val="2"/>
          <c:tx>
            <c:strRef>
              <c:f>SR_cost_per_minute_forecast!$B$149</c:f>
              <c:strCache>
                <c:ptCount val="1"/>
                <c:pt idx="0">
                  <c:v>High Demand</c:v>
                </c:pt>
              </c:strCache>
            </c:strRef>
          </c:tx>
          <c:spPr>
            <a:ln w="28575" cap="rnd">
              <a:solidFill>
                <a:schemeClr val="accent3"/>
              </a:solidFill>
              <a:round/>
            </a:ln>
            <a:effectLst/>
          </c:spPr>
          <c:marker>
            <c:symbol val="none"/>
          </c:marker>
          <c:cat>
            <c:numRef>
              <c:f>SR_cost_per_minute_forecast!$C$132:$L$132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SR_cost_per_minute_forecast!$C$159:$L$159</c:f>
              <c:numCache>
                <c:formatCode>_(* #,##0_);_(* \(#,##0\);_(* "-"??_);_(@_)</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2-7DB8-46E4-A27E-8C39937CFCAC}"/>
            </c:ext>
          </c:extLst>
        </c:ser>
        <c:dLbls>
          <c:showLegendKey val="0"/>
          <c:showVal val="0"/>
          <c:showCatName val="0"/>
          <c:showSerName val="0"/>
          <c:showPercent val="0"/>
          <c:showBubbleSize val="0"/>
        </c:dLbls>
        <c:smooth val="0"/>
        <c:axId val="377482960"/>
        <c:axId val="377479632"/>
      </c:lineChart>
      <c:catAx>
        <c:axId val="3774829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7479632"/>
        <c:crosses val="autoZero"/>
        <c:auto val="1"/>
        <c:lblAlgn val="ctr"/>
        <c:lblOffset val="100"/>
        <c:noMultiLvlLbl val="0"/>
      </c:catAx>
      <c:valAx>
        <c:axId val="37747963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74829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SR </a:t>
            </a:r>
            <a:r>
              <a:rPr lang="en-US"/>
              <a:t>Total aggregate cost by scenario </a:t>
            </a:r>
            <a:r>
              <a:rPr lang="en-US" sz="1400" b="0" i="0" u="none" strike="noStrike" baseline="0">
                <a:effectLst/>
              </a:rPr>
              <a:t>(80% profit margin)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SR_cost_per_minute_forecast!$B$169</c:f>
              <c:strCache>
                <c:ptCount val="1"/>
                <c:pt idx="0">
                  <c:v>Low Demand</c:v>
                </c:pt>
              </c:strCache>
            </c:strRef>
          </c:tx>
          <c:spPr>
            <a:ln w="28575" cap="rnd">
              <a:solidFill>
                <a:schemeClr val="accent1"/>
              </a:solidFill>
              <a:round/>
            </a:ln>
            <a:effectLst/>
          </c:spPr>
          <c:marker>
            <c:symbol val="none"/>
          </c:marker>
          <c:cat>
            <c:numRef>
              <c:f>SR_cost_per_minute_forecast!$C$170:$L$170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SR_cost_per_minute_forecast!$C$179:$L$179</c:f>
              <c:numCache>
                <c:formatCode>_(* #,##0_);_(* \(#,##0\);_(* "-"??_);_(@_)</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0-52AD-4E0D-B32D-06E8045216E8}"/>
            </c:ext>
          </c:extLst>
        </c:ser>
        <c:ser>
          <c:idx val="1"/>
          <c:order val="1"/>
          <c:tx>
            <c:strRef>
              <c:f>SR_cost_per_minute_forecast!$B$187</c:f>
              <c:strCache>
                <c:ptCount val="1"/>
                <c:pt idx="0">
                  <c:v>Baseline Demand</c:v>
                </c:pt>
              </c:strCache>
            </c:strRef>
          </c:tx>
          <c:spPr>
            <a:ln w="28575" cap="rnd">
              <a:solidFill>
                <a:schemeClr val="accent2"/>
              </a:solidFill>
              <a:round/>
            </a:ln>
            <a:effectLst/>
          </c:spPr>
          <c:marker>
            <c:symbol val="none"/>
          </c:marker>
          <c:cat>
            <c:numRef>
              <c:f>SR_cost_per_minute_forecast!$C$170:$L$170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SR_cost_per_minute_forecast!$C$197:$L$197</c:f>
              <c:numCache>
                <c:formatCode>_(* #,##0_);_(* \(#,##0\);_(* "-"??_);_(@_)</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1-52AD-4E0D-B32D-06E8045216E8}"/>
            </c:ext>
          </c:extLst>
        </c:ser>
        <c:ser>
          <c:idx val="2"/>
          <c:order val="2"/>
          <c:tx>
            <c:strRef>
              <c:f>SR_cost_per_minute_forecast!$B$205</c:f>
              <c:strCache>
                <c:ptCount val="1"/>
                <c:pt idx="0">
                  <c:v>High Demand</c:v>
                </c:pt>
              </c:strCache>
            </c:strRef>
          </c:tx>
          <c:spPr>
            <a:ln w="28575" cap="rnd">
              <a:solidFill>
                <a:schemeClr val="accent3"/>
              </a:solidFill>
              <a:round/>
            </a:ln>
            <a:effectLst/>
          </c:spPr>
          <c:marker>
            <c:symbol val="none"/>
          </c:marker>
          <c:cat>
            <c:numRef>
              <c:f>SR_cost_per_minute_forecast!$C$170:$L$170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SR_cost_per_minute_forecast!$C$215:$L$215</c:f>
              <c:numCache>
                <c:formatCode>_(* #,##0_);_(* \(#,##0\);_(* "-"??_);_(@_)</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2-52AD-4E0D-B32D-06E8045216E8}"/>
            </c:ext>
          </c:extLst>
        </c:ser>
        <c:dLbls>
          <c:showLegendKey val="0"/>
          <c:showVal val="0"/>
          <c:showCatName val="0"/>
          <c:showSerName val="0"/>
          <c:showPercent val="0"/>
          <c:showBubbleSize val="0"/>
        </c:dLbls>
        <c:smooth val="0"/>
        <c:axId val="377482960"/>
        <c:axId val="377479632"/>
      </c:lineChart>
      <c:catAx>
        <c:axId val="3774829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7479632"/>
        <c:crosses val="autoZero"/>
        <c:auto val="1"/>
        <c:lblAlgn val="ctr"/>
        <c:lblOffset val="100"/>
        <c:noMultiLvlLbl val="0"/>
      </c:catAx>
      <c:valAx>
        <c:axId val="37747963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74829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Lifespans (Low)</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8.0248777066870988E-2"/>
          <c:y val="0.10605799289048519"/>
          <c:w val="0.87722706632180125"/>
          <c:h val="0.63030185267075134"/>
        </c:manualLayout>
      </c:layout>
      <c:areaChart>
        <c:grouping val="stacked"/>
        <c:varyColors val="0"/>
        <c:ser>
          <c:idx val="0"/>
          <c:order val="0"/>
          <c:tx>
            <c:strRef>
              <c:f>lifespans_all!$B$61</c:f>
              <c:strCache>
                <c:ptCount val="1"/>
                <c:pt idx="0">
                  <c:v>Human Space Flight</c:v>
                </c:pt>
              </c:strCache>
            </c:strRef>
          </c:tx>
          <c:spPr>
            <a:solidFill>
              <a:schemeClr val="accent1"/>
            </a:solidFill>
            <a:ln>
              <a:noFill/>
            </a:ln>
            <a:effectLst/>
          </c:spPr>
          <c:cat>
            <c:numRef>
              <c:f>lifespans_all!$C$60:$L$60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lifespans_all!$C$61:$L$61</c:f>
              <c:numCache>
                <c:formatCode>0</c:formatCode>
                <c:ptCount val="10"/>
                <c:pt idx="0">
                  <c:v>5.5</c:v>
                </c:pt>
                <c:pt idx="1">
                  <c:v>5</c:v>
                </c:pt>
                <c:pt idx="2">
                  <c:v>4.5</c:v>
                </c:pt>
                <c:pt idx="3">
                  <c:v>4</c:v>
                </c:pt>
                <c:pt idx="4">
                  <c:v>3.5</c:v>
                </c:pt>
                <c:pt idx="5">
                  <c:v>3</c:v>
                </c:pt>
                <c:pt idx="6">
                  <c:v>2.5</c:v>
                </c:pt>
                <c:pt idx="7">
                  <c:v>2</c:v>
                </c:pt>
                <c:pt idx="8">
                  <c:v>1.5</c:v>
                </c:pt>
                <c:pt idx="9">
                  <c:v>1</c:v>
                </c:pt>
              </c:numCache>
            </c:numRef>
          </c:val>
          <c:extLst>
            <c:ext xmlns:c16="http://schemas.microsoft.com/office/drawing/2014/chart" uri="{C3380CC4-5D6E-409C-BE32-E72D297353CC}">
              <c16:uniqueId val="{00000000-6214-4C16-955F-4D7A4436F319}"/>
            </c:ext>
          </c:extLst>
        </c:ser>
        <c:ser>
          <c:idx val="1"/>
          <c:order val="1"/>
          <c:tx>
            <c:strRef>
              <c:f>lifespans_all!$B$62</c:f>
              <c:strCache>
                <c:ptCount val="1"/>
                <c:pt idx="0">
                  <c:v>Near Earth Robotic - LEO Science</c:v>
                </c:pt>
              </c:strCache>
            </c:strRef>
          </c:tx>
          <c:spPr>
            <a:solidFill>
              <a:schemeClr val="accent2"/>
            </a:solidFill>
            <a:ln>
              <a:noFill/>
            </a:ln>
            <a:effectLst/>
          </c:spPr>
          <c:cat>
            <c:numRef>
              <c:f>lifespans_all!$C$60:$L$60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lifespans_all!$C$62:$L$62</c:f>
              <c:numCache>
                <c:formatCode>0</c:formatCode>
                <c:ptCount val="10"/>
                <c:pt idx="0">
                  <c:v>16.7</c:v>
                </c:pt>
                <c:pt idx="1">
                  <c:v>16.399999999999999</c:v>
                </c:pt>
                <c:pt idx="2">
                  <c:v>16.100000000000001</c:v>
                </c:pt>
                <c:pt idx="3">
                  <c:v>15.8</c:v>
                </c:pt>
                <c:pt idx="4">
                  <c:v>15.5</c:v>
                </c:pt>
                <c:pt idx="5">
                  <c:v>15.2</c:v>
                </c:pt>
                <c:pt idx="6">
                  <c:v>14.9</c:v>
                </c:pt>
                <c:pt idx="7">
                  <c:v>14.6</c:v>
                </c:pt>
                <c:pt idx="8">
                  <c:v>14.3</c:v>
                </c:pt>
                <c:pt idx="9">
                  <c:v>14</c:v>
                </c:pt>
              </c:numCache>
            </c:numRef>
          </c:val>
          <c:extLst>
            <c:ext xmlns:c16="http://schemas.microsoft.com/office/drawing/2014/chart" uri="{C3380CC4-5D6E-409C-BE32-E72D297353CC}">
              <c16:uniqueId val="{00000001-6214-4C16-955F-4D7A4436F319}"/>
            </c:ext>
          </c:extLst>
        </c:ser>
        <c:ser>
          <c:idx val="2"/>
          <c:order val="2"/>
          <c:tx>
            <c:strRef>
              <c:f>lifespans_all!$B$63</c:f>
              <c:strCache>
                <c:ptCount val="1"/>
                <c:pt idx="0">
                  <c:v>Near Earth Robotic - GEO and Near Earth</c:v>
                </c:pt>
              </c:strCache>
            </c:strRef>
          </c:tx>
          <c:spPr>
            <a:solidFill>
              <a:schemeClr val="accent3"/>
            </a:solidFill>
            <a:ln>
              <a:noFill/>
            </a:ln>
            <a:effectLst/>
          </c:spPr>
          <c:cat>
            <c:numRef>
              <c:f>lifespans_all!$C$60:$L$60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lifespans_all!$C$63:$L$63</c:f>
              <c:numCache>
                <c:formatCode>0</c:formatCode>
                <c:ptCount val="10"/>
                <c:pt idx="0">
                  <c:v>7.9</c:v>
                </c:pt>
                <c:pt idx="1">
                  <c:v>7.8</c:v>
                </c:pt>
                <c:pt idx="2">
                  <c:v>7.7</c:v>
                </c:pt>
                <c:pt idx="3">
                  <c:v>7.6</c:v>
                </c:pt>
                <c:pt idx="4">
                  <c:v>7.5</c:v>
                </c:pt>
                <c:pt idx="5">
                  <c:v>7.4</c:v>
                </c:pt>
                <c:pt idx="6">
                  <c:v>7.3</c:v>
                </c:pt>
                <c:pt idx="7">
                  <c:v>7.2</c:v>
                </c:pt>
                <c:pt idx="8">
                  <c:v>7.1</c:v>
                </c:pt>
                <c:pt idx="9">
                  <c:v>7</c:v>
                </c:pt>
              </c:numCache>
            </c:numRef>
          </c:val>
          <c:extLst>
            <c:ext xmlns:c16="http://schemas.microsoft.com/office/drawing/2014/chart" uri="{C3380CC4-5D6E-409C-BE32-E72D297353CC}">
              <c16:uniqueId val="{00000002-6214-4C16-955F-4D7A4436F319}"/>
            </c:ext>
          </c:extLst>
        </c:ser>
        <c:ser>
          <c:idx val="3"/>
          <c:order val="3"/>
          <c:tx>
            <c:strRef>
              <c:f>lifespans_all!$B$64</c:f>
              <c:strCache>
                <c:ptCount val="1"/>
                <c:pt idx="0">
                  <c:v>Deep Space Robotic</c:v>
                </c:pt>
              </c:strCache>
            </c:strRef>
          </c:tx>
          <c:spPr>
            <a:solidFill>
              <a:schemeClr val="accent4"/>
            </a:solidFill>
            <a:ln w="25400">
              <a:noFill/>
            </a:ln>
            <a:effectLst/>
          </c:spPr>
          <c:cat>
            <c:numRef>
              <c:f>lifespans_all!$C$60:$L$60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lifespans_all!$C$64:$L$64</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6214-4C16-955F-4D7A4436F319}"/>
            </c:ext>
          </c:extLst>
        </c:ser>
        <c:ser>
          <c:idx val="4"/>
          <c:order val="4"/>
          <c:tx>
            <c:strRef>
              <c:f>lifespans_all!$B$65</c:f>
              <c:strCache>
                <c:ptCount val="1"/>
                <c:pt idx="0">
                  <c:v>Near Earth Robotic - Low Latency &amp; Complex Needs</c:v>
                </c:pt>
              </c:strCache>
            </c:strRef>
          </c:tx>
          <c:spPr>
            <a:solidFill>
              <a:schemeClr val="accent5"/>
            </a:solidFill>
            <a:ln w="25400">
              <a:noFill/>
            </a:ln>
            <a:effectLst/>
          </c:spPr>
          <c:cat>
            <c:numRef>
              <c:f>lifespans_all!$C$60:$L$60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lifespans_all!$C$65:$L$65</c:f>
              <c:numCache>
                <c:formatCode>0</c:formatCode>
                <c:ptCount val="10"/>
                <c:pt idx="0">
                  <c:v>0.9</c:v>
                </c:pt>
                <c:pt idx="1">
                  <c:v>0.8</c:v>
                </c:pt>
                <c:pt idx="2">
                  <c:v>0.7</c:v>
                </c:pt>
                <c:pt idx="3">
                  <c:v>0.6</c:v>
                </c:pt>
                <c:pt idx="4">
                  <c:v>0.5</c:v>
                </c:pt>
                <c:pt idx="5">
                  <c:v>0.4</c:v>
                </c:pt>
                <c:pt idx="6">
                  <c:v>0.30000000000000004</c:v>
                </c:pt>
                <c:pt idx="7">
                  <c:v>0.20000000000000007</c:v>
                </c:pt>
                <c:pt idx="8">
                  <c:v>0.10000000000000009</c:v>
                </c:pt>
                <c:pt idx="9">
                  <c:v>0</c:v>
                </c:pt>
              </c:numCache>
            </c:numRef>
          </c:val>
          <c:extLst>
            <c:ext xmlns:c16="http://schemas.microsoft.com/office/drawing/2014/chart" uri="{C3380CC4-5D6E-409C-BE32-E72D297353CC}">
              <c16:uniqueId val="{00000004-6214-4C16-955F-4D7A4436F319}"/>
            </c:ext>
          </c:extLst>
        </c:ser>
        <c:ser>
          <c:idx val="5"/>
          <c:order val="5"/>
          <c:tx>
            <c:strRef>
              <c:f>lifespans_all!$B$66</c:f>
              <c:strCache>
                <c:ptCount val="1"/>
                <c:pt idx="0">
                  <c:v>Mission Operations</c:v>
                </c:pt>
              </c:strCache>
            </c:strRef>
          </c:tx>
          <c:spPr>
            <a:solidFill>
              <a:schemeClr val="accent6"/>
            </a:solidFill>
            <a:ln w="25400">
              <a:noFill/>
            </a:ln>
            <a:effectLst/>
          </c:spPr>
          <c:cat>
            <c:numRef>
              <c:f>lifespans_all!$C$60:$L$60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lifespans_all!$C$66:$L$66</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6214-4C16-955F-4D7A4436F319}"/>
            </c:ext>
          </c:extLst>
        </c:ser>
        <c:ser>
          <c:idx val="6"/>
          <c:order val="6"/>
          <c:tx>
            <c:strRef>
              <c:f>lifespans_all!$B$67</c:f>
              <c:strCache>
                <c:ptCount val="1"/>
                <c:pt idx="0">
                  <c:v>Launch Events</c:v>
                </c:pt>
              </c:strCache>
            </c:strRef>
          </c:tx>
          <c:spPr>
            <a:solidFill>
              <a:schemeClr val="accent1">
                <a:lumMod val="60000"/>
              </a:schemeClr>
            </a:solidFill>
            <a:ln w="25400">
              <a:noFill/>
            </a:ln>
            <a:effectLst/>
          </c:spPr>
          <c:cat>
            <c:numRef>
              <c:f>lifespans_all!$C$60:$L$60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lifespans_all!$C$67:$L$67</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6-6214-4C16-955F-4D7A4436F319}"/>
            </c:ext>
          </c:extLst>
        </c:ser>
        <c:ser>
          <c:idx val="7"/>
          <c:order val="7"/>
          <c:tx>
            <c:strRef>
              <c:f>lifespans_all!$B$68</c:f>
              <c:strCache>
                <c:ptCount val="1"/>
                <c:pt idx="0">
                  <c:v>Terrestrial &amp; Aerial</c:v>
                </c:pt>
              </c:strCache>
            </c:strRef>
          </c:tx>
          <c:spPr>
            <a:solidFill>
              <a:schemeClr val="accent2">
                <a:lumMod val="60000"/>
              </a:schemeClr>
            </a:solidFill>
            <a:ln w="25400">
              <a:noFill/>
            </a:ln>
            <a:effectLst/>
          </c:spPr>
          <c:cat>
            <c:numRef>
              <c:f>lifespans_all!$C$60:$L$60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lifespans_all!$C$68:$L$68</c:f>
              <c:numCache>
                <c:formatCode>0</c:formatCode>
                <c:ptCount val="10"/>
                <c:pt idx="0">
                  <c:v>2.7</c:v>
                </c:pt>
                <c:pt idx="1">
                  <c:v>2.4</c:v>
                </c:pt>
                <c:pt idx="2">
                  <c:v>2.1</c:v>
                </c:pt>
                <c:pt idx="3">
                  <c:v>1.8</c:v>
                </c:pt>
                <c:pt idx="4">
                  <c:v>1.5</c:v>
                </c:pt>
                <c:pt idx="5">
                  <c:v>1.2</c:v>
                </c:pt>
                <c:pt idx="6">
                  <c:v>0.89999999999999991</c:v>
                </c:pt>
                <c:pt idx="7">
                  <c:v>0.60000000000000009</c:v>
                </c:pt>
                <c:pt idx="8">
                  <c:v>0.30000000000000027</c:v>
                </c:pt>
                <c:pt idx="9">
                  <c:v>4.4408920985006262E-16</c:v>
                </c:pt>
              </c:numCache>
            </c:numRef>
          </c:val>
          <c:extLst>
            <c:ext xmlns:c16="http://schemas.microsoft.com/office/drawing/2014/chart" uri="{C3380CC4-5D6E-409C-BE32-E72D297353CC}">
              <c16:uniqueId val="{00000007-6214-4C16-955F-4D7A4436F319}"/>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max val="9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Missions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3330702192808603"/>
          <c:w val="0.90748717991544758"/>
          <c:h val="0.1495361034991871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Lifespans (Baseline)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8.8702883749043504E-2"/>
          <c:y val="0.1060580978028894"/>
          <c:w val="0.87934059299234435"/>
          <c:h val="0.63030185267075134"/>
        </c:manualLayout>
      </c:layout>
      <c:areaChart>
        <c:grouping val="stacked"/>
        <c:varyColors val="0"/>
        <c:ser>
          <c:idx val="0"/>
          <c:order val="0"/>
          <c:tx>
            <c:strRef>
              <c:f>lifespans_all!$B$139</c:f>
              <c:strCache>
                <c:ptCount val="1"/>
                <c:pt idx="0">
                  <c:v>Human Space Flight</c:v>
                </c:pt>
              </c:strCache>
            </c:strRef>
          </c:tx>
          <c:spPr>
            <a:solidFill>
              <a:schemeClr val="accent1"/>
            </a:solidFill>
            <a:ln>
              <a:noFill/>
            </a:ln>
            <a:effectLst/>
          </c:spPr>
          <c:cat>
            <c:numRef>
              <c:f>lifespans_all!$C$138:$L$138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lifespans_all!$C$139:$L$139</c:f>
              <c:numCache>
                <c:formatCode>0</c:formatCode>
                <c:ptCount val="10"/>
                <c:pt idx="0">
                  <c:v>5.5</c:v>
                </c:pt>
                <c:pt idx="1">
                  <c:v>5</c:v>
                </c:pt>
                <c:pt idx="2">
                  <c:v>4.5</c:v>
                </c:pt>
                <c:pt idx="3">
                  <c:v>4</c:v>
                </c:pt>
                <c:pt idx="4">
                  <c:v>3.5</c:v>
                </c:pt>
                <c:pt idx="5">
                  <c:v>3</c:v>
                </c:pt>
                <c:pt idx="6">
                  <c:v>2.5</c:v>
                </c:pt>
                <c:pt idx="7">
                  <c:v>2</c:v>
                </c:pt>
                <c:pt idx="8">
                  <c:v>1.5</c:v>
                </c:pt>
                <c:pt idx="9">
                  <c:v>1</c:v>
                </c:pt>
              </c:numCache>
            </c:numRef>
          </c:val>
          <c:extLst>
            <c:ext xmlns:c16="http://schemas.microsoft.com/office/drawing/2014/chart" uri="{C3380CC4-5D6E-409C-BE32-E72D297353CC}">
              <c16:uniqueId val="{00000000-0DDE-492F-A7E4-FEBC399D369D}"/>
            </c:ext>
          </c:extLst>
        </c:ser>
        <c:ser>
          <c:idx val="1"/>
          <c:order val="1"/>
          <c:tx>
            <c:strRef>
              <c:f>lifespans_all!$B$140</c:f>
              <c:strCache>
                <c:ptCount val="1"/>
                <c:pt idx="0">
                  <c:v>Near Earth Robotic - LEO Science</c:v>
                </c:pt>
              </c:strCache>
            </c:strRef>
          </c:tx>
          <c:spPr>
            <a:solidFill>
              <a:schemeClr val="accent2"/>
            </a:solidFill>
            <a:ln>
              <a:noFill/>
            </a:ln>
            <a:effectLst/>
          </c:spPr>
          <c:cat>
            <c:numRef>
              <c:f>lifespans_all!$C$138:$L$138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lifespans_all!$C$140:$L$140</c:f>
              <c:numCache>
                <c:formatCode>0</c:formatCode>
                <c:ptCount val="10"/>
                <c:pt idx="0">
                  <c:v>16.899999999999999</c:v>
                </c:pt>
                <c:pt idx="1">
                  <c:v>16.8</c:v>
                </c:pt>
                <c:pt idx="2">
                  <c:v>16.7</c:v>
                </c:pt>
                <c:pt idx="3">
                  <c:v>16.600000000000001</c:v>
                </c:pt>
                <c:pt idx="4">
                  <c:v>16.5</c:v>
                </c:pt>
                <c:pt idx="5">
                  <c:v>16.399999999999999</c:v>
                </c:pt>
                <c:pt idx="6">
                  <c:v>16.3</c:v>
                </c:pt>
                <c:pt idx="7">
                  <c:v>16.2</c:v>
                </c:pt>
                <c:pt idx="8">
                  <c:v>16.100000000000001</c:v>
                </c:pt>
                <c:pt idx="9">
                  <c:v>16</c:v>
                </c:pt>
              </c:numCache>
            </c:numRef>
          </c:val>
          <c:extLst>
            <c:ext xmlns:c16="http://schemas.microsoft.com/office/drawing/2014/chart" uri="{C3380CC4-5D6E-409C-BE32-E72D297353CC}">
              <c16:uniqueId val="{00000001-0DDE-492F-A7E4-FEBC399D369D}"/>
            </c:ext>
          </c:extLst>
        </c:ser>
        <c:ser>
          <c:idx val="2"/>
          <c:order val="2"/>
          <c:tx>
            <c:strRef>
              <c:f>lifespans_all!$B$141</c:f>
              <c:strCache>
                <c:ptCount val="1"/>
                <c:pt idx="0">
                  <c:v>Near Earth Robotic - GEO and Near Earth</c:v>
                </c:pt>
              </c:strCache>
            </c:strRef>
          </c:tx>
          <c:spPr>
            <a:solidFill>
              <a:schemeClr val="accent3"/>
            </a:solidFill>
            <a:ln>
              <a:noFill/>
            </a:ln>
            <a:effectLst/>
          </c:spPr>
          <c:cat>
            <c:numRef>
              <c:f>lifespans_all!$C$138:$L$138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lifespans_all!$C$141:$L$141</c:f>
              <c:numCache>
                <c:formatCode>0</c:formatCode>
                <c:ptCount val="10"/>
                <c:pt idx="0">
                  <c:v>7.9</c:v>
                </c:pt>
                <c:pt idx="1">
                  <c:v>7.8</c:v>
                </c:pt>
                <c:pt idx="2">
                  <c:v>7.7</c:v>
                </c:pt>
                <c:pt idx="3">
                  <c:v>7.6</c:v>
                </c:pt>
                <c:pt idx="4">
                  <c:v>7.5</c:v>
                </c:pt>
                <c:pt idx="5">
                  <c:v>7.4</c:v>
                </c:pt>
                <c:pt idx="6">
                  <c:v>7.3</c:v>
                </c:pt>
                <c:pt idx="7">
                  <c:v>7.2</c:v>
                </c:pt>
                <c:pt idx="8">
                  <c:v>7.1</c:v>
                </c:pt>
                <c:pt idx="9">
                  <c:v>7</c:v>
                </c:pt>
              </c:numCache>
            </c:numRef>
          </c:val>
          <c:extLst>
            <c:ext xmlns:c16="http://schemas.microsoft.com/office/drawing/2014/chart" uri="{C3380CC4-5D6E-409C-BE32-E72D297353CC}">
              <c16:uniqueId val="{00000002-0DDE-492F-A7E4-FEBC399D369D}"/>
            </c:ext>
          </c:extLst>
        </c:ser>
        <c:ser>
          <c:idx val="3"/>
          <c:order val="3"/>
          <c:tx>
            <c:strRef>
              <c:f>lifespans_all!$B$142</c:f>
              <c:strCache>
                <c:ptCount val="1"/>
                <c:pt idx="0">
                  <c:v>Deep Space Robotic</c:v>
                </c:pt>
              </c:strCache>
            </c:strRef>
          </c:tx>
          <c:spPr>
            <a:solidFill>
              <a:schemeClr val="accent4"/>
            </a:solidFill>
            <a:ln w="25400">
              <a:noFill/>
            </a:ln>
            <a:effectLst/>
          </c:spPr>
          <c:cat>
            <c:numRef>
              <c:f>lifespans_all!$C$138:$L$138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lifespans_all!$C$142:$L$142</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0DDE-492F-A7E4-FEBC399D369D}"/>
            </c:ext>
          </c:extLst>
        </c:ser>
        <c:ser>
          <c:idx val="4"/>
          <c:order val="4"/>
          <c:tx>
            <c:strRef>
              <c:f>lifespans_all!$B$143</c:f>
              <c:strCache>
                <c:ptCount val="1"/>
                <c:pt idx="0">
                  <c:v>Near Earth Robotic - Low Latency &amp; Complex Needs</c:v>
                </c:pt>
              </c:strCache>
            </c:strRef>
          </c:tx>
          <c:spPr>
            <a:solidFill>
              <a:schemeClr val="accent5"/>
            </a:solidFill>
            <a:ln w="25400">
              <a:noFill/>
            </a:ln>
            <a:effectLst/>
          </c:spPr>
          <c:cat>
            <c:numRef>
              <c:f>lifespans_all!$C$138:$L$138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lifespans_all!$C$143:$L$143</c:f>
              <c:numCache>
                <c:formatCode>0</c:formatCode>
                <c:ptCount val="10"/>
                <c:pt idx="0">
                  <c:v>0.9</c:v>
                </c:pt>
                <c:pt idx="1">
                  <c:v>0.8</c:v>
                </c:pt>
                <c:pt idx="2">
                  <c:v>0.7</c:v>
                </c:pt>
                <c:pt idx="3">
                  <c:v>0.6</c:v>
                </c:pt>
                <c:pt idx="4">
                  <c:v>0.5</c:v>
                </c:pt>
                <c:pt idx="5">
                  <c:v>0.4</c:v>
                </c:pt>
                <c:pt idx="6">
                  <c:v>0.30000000000000004</c:v>
                </c:pt>
                <c:pt idx="7">
                  <c:v>0.20000000000000007</c:v>
                </c:pt>
                <c:pt idx="8">
                  <c:v>0.10000000000000009</c:v>
                </c:pt>
                <c:pt idx="9">
                  <c:v>0</c:v>
                </c:pt>
              </c:numCache>
            </c:numRef>
          </c:val>
          <c:extLst>
            <c:ext xmlns:c16="http://schemas.microsoft.com/office/drawing/2014/chart" uri="{C3380CC4-5D6E-409C-BE32-E72D297353CC}">
              <c16:uniqueId val="{00000004-0DDE-492F-A7E4-FEBC399D369D}"/>
            </c:ext>
          </c:extLst>
        </c:ser>
        <c:ser>
          <c:idx val="5"/>
          <c:order val="5"/>
          <c:tx>
            <c:strRef>
              <c:f>lifespans_all!$B$144</c:f>
              <c:strCache>
                <c:ptCount val="1"/>
                <c:pt idx="0">
                  <c:v>Mission Operations</c:v>
                </c:pt>
              </c:strCache>
            </c:strRef>
          </c:tx>
          <c:spPr>
            <a:solidFill>
              <a:schemeClr val="accent6"/>
            </a:solidFill>
            <a:ln w="25400">
              <a:noFill/>
            </a:ln>
            <a:effectLst/>
          </c:spPr>
          <c:cat>
            <c:numRef>
              <c:f>lifespans_all!$C$138:$L$138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lifespans_all!$C$144:$L$144</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0DDE-492F-A7E4-FEBC399D369D}"/>
            </c:ext>
          </c:extLst>
        </c:ser>
        <c:ser>
          <c:idx val="6"/>
          <c:order val="6"/>
          <c:tx>
            <c:strRef>
              <c:f>lifespans_all!$B$145</c:f>
              <c:strCache>
                <c:ptCount val="1"/>
                <c:pt idx="0">
                  <c:v>Launch Events</c:v>
                </c:pt>
              </c:strCache>
            </c:strRef>
          </c:tx>
          <c:spPr>
            <a:solidFill>
              <a:schemeClr val="accent1">
                <a:lumMod val="60000"/>
              </a:schemeClr>
            </a:solidFill>
            <a:ln w="25400">
              <a:noFill/>
            </a:ln>
            <a:effectLst/>
          </c:spPr>
          <c:cat>
            <c:numRef>
              <c:f>lifespans_all!$C$138:$L$138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lifespans_all!$C$145:$L$145</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6-0DDE-492F-A7E4-FEBC399D369D}"/>
            </c:ext>
          </c:extLst>
        </c:ser>
        <c:ser>
          <c:idx val="7"/>
          <c:order val="7"/>
          <c:tx>
            <c:strRef>
              <c:f>lifespans_all!$B$146</c:f>
              <c:strCache>
                <c:ptCount val="1"/>
                <c:pt idx="0">
                  <c:v>Terrestrial &amp; Aerial</c:v>
                </c:pt>
              </c:strCache>
            </c:strRef>
          </c:tx>
          <c:spPr>
            <a:solidFill>
              <a:schemeClr val="accent2">
                <a:lumMod val="60000"/>
              </a:schemeClr>
            </a:solidFill>
            <a:ln w="25400">
              <a:noFill/>
            </a:ln>
            <a:effectLst/>
          </c:spPr>
          <c:cat>
            <c:numRef>
              <c:f>lifespans_all!$C$138:$L$138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lifespans_all!$C$146:$L$146</c:f>
              <c:numCache>
                <c:formatCode>0</c:formatCode>
                <c:ptCount val="10"/>
                <c:pt idx="0">
                  <c:v>2.7</c:v>
                </c:pt>
                <c:pt idx="1">
                  <c:v>2.4</c:v>
                </c:pt>
                <c:pt idx="2">
                  <c:v>2.1</c:v>
                </c:pt>
                <c:pt idx="3">
                  <c:v>1.8</c:v>
                </c:pt>
                <c:pt idx="4">
                  <c:v>1.5</c:v>
                </c:pt>
                <c:pt idx="5">
                  <c:v>1.2</c:v>
                </c:pt>
                <c:pt idx="6">
                  <c:v>0.89999999999999991</c:v>
                </c:pt>
                <c:pt idx="7">
                  <c:v>0.60000000000000009</c:v>
                </c:pt>
                <c:pt idx="8">
                  <c:v>0.30000000000000027</c:v>
                </c:pt>
                <c:pt idx="9">
                  <c:v>4.4408920985006262E-16</c:v>
                </c:pt>
              </c:numCache>
            </c:numRef>
          </c:val>
          <c:extLst>
            <c:ext xmlns:c16="http://schemas.microsoft.com/office/drawing/2014/chart" uri="{C3380CC4-5D6E-409C-BE32-E72D297353CC}">
              <c16:uniqueId val="{00000007-0DDE-492F-A7E4-FEBC399D369D}"/>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max val="9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Missions</a:t>
                </a:r>
                <a:endParaRPr lang="en-US" sz="4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3036687850764268"/>
          <c:w val="0.90748717991544758"/>
          <c:h val="0.1524761377545713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Lifespans (High)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8.6589357078500379E-2"/>
          <c:y val="0.10605799289048519"/>
          <c:w val="0.87088648631017185"/>
          <c:h val="0.63030185267075134"/>
        </c:manualLayout>
      </c:layout>
      <c:areaChart>
        <c:grouping val="stacked"/>
        <c:varyColors val="0"/>
        <c:ser>
          <c:idx val="0"/>
          <c:order val="0"/>
          <c:tx>
            <c:strRef>
              <c:f>lifespans_all!$B$217</c:f>
              <c:strCache>
                <c:ptCount val="1"/>
                <c:pt idx="0">
                  <c:v>Human Space Flight</c:v>
                </c:pt>
              </c:strCache>
            </c:strRef>
          </c:tx>
          <c:spPr>
            <a:solidFill>
              <a:schemeClr val="accent1"/>
            </a:solidFill>
            <a:ln>
              <a:noFill/>
            </a:ln>
            <a:effectLst/>
          </c:spPr>
          <c:cat>
            <c:numRef>
              <c:f>lifespans_all!$C$216:$L$216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lifespans_all!$C$217:$L$217</c:f>
              <c:numCache>
                <c:formatCode>0</c:formatCode>
                <c:ptCount val="10"/>
                <c:pt idx="0">
                  <c:v>5.5</c:v>
                </c:pt>
                <c:pt idx="1">
                  <c:v>5</c:v>
                </c:pt>
                <c:pt idx="2">
                  <c:v>4.5</c:v>
                </c:pt>
                <c:pt idx="3">
                  <c:v>4</c:v>
                </c:pt>
                <c:pt idx="4">
                  <c:v>3.5</c:v>
                </c:pt>
                <c:pt idx="5">
                  <c:v>3</c:v>
                </c:pt>
                <c:pt idx="6">
                  <c:v>2.5</c:v>
                </c:pt>
                <c:pt idx="7">
                  <c:v>2</c:v>
                </c:pt>
                <c:pt idx="8">
                  <c:v>1.5</c:v>
                </c:pt>
                <c:pt idx="9">
                  <c:v>1</c:v>
                </c:pt>
              </c:numCache>
            </c:numRef>
          </c:val>
          <c:extLst>
            <c:ext xmlns:c16="http://schemas.microsoft.com/office/drawing/2014/chart" uri="{C3380CC4-5D6E-409C-BE32-E72D297353CC}">
              <c16:uniqueId val="{00000000-ABAB-4E10-9550-C36C6B8CDD38}"/>
            </c:ext>
          </c:extLst>
        </c:ser>
        <c:ser>
          <c:idx val="1"/>
          <c:order val="1"/>
          <c:tx>
            <c:strRef>
              <c:f>lifespans_all!$B$218</c:f>
              <c:strCache>
                <c:ptCount val="1"/>
                <c:pt idx="0">
                  <c:v>Near Earth Robotic - LEO Science</c:v>
                </c:pt>
              </c:strCache>
            </c:strRef>
          </c:tx>
          <c:spPr>
            <a:solidFill>
              <a:schemeClr val="accent2"/>
            </a:solidFill>
            <a:ln>
              <a:noFill/>
            </a:ln>
            <a:effectLst/>
          </c:spPr>
          <c:cat>
            <c:numRef>
              <c:f>lifespans_all!$C$216:$L$216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lifespans_all!$C$218:$L$218</c:f>
              <c:numCache>
                <c:formatCode>0</c:formatCode>
                <c:ptCount val="10"/>
                <c:pt idx="0">
                  <c:v>17</c:v>
                </c:pt>
                <c:pt idx="1">
                  <c:v>17</c:v>
                </c:pt>
                <c:pt idx="2">
                  <c:v>17</c:v>
                </c:pt>
                <c:pt idx="3">
                  <c:v>17</c:v>
                </c:pt>
                <c:pt idx="4">
                  <c:v>17</c:v>
                </c:pt>
                <c:pt idx="5">
                  <c:v>17</c:v>
                </c:pt>
                <c:pt idx="6">
                  <c:v>17</c:v>
                </c:pt>
                <c:pt idx="7">
                  <c:v>17</c:v>
                </c:pt>
                <c:pt idx="8">
                  <c:v>17</c:v>
                </c:pt>
                <c:pt idx="9">
                  <c:v>17</c:v>
                </c:pt>
              </c:numCache>
            </c:numRef>
          </c:val>
          <c:extLst>
            <c:ext xmlns:c16="http://schemas.microsoft.com/office/drawing/2014/chart" uri="{C3380CC4-5D6E-409C-BE32-E72D297353CC}">
              <c16:uniqueId val="{00000001-ABAB-4E10-9550-C36C6B8CDD38}"/>
            </c:ext>
          </c:extLst>
        </c:ser>
        <c:ser>
          <c:idx val="2"/>
          <c:order val="2"/>
          <c:tx>
            <c:strRef>
              <c:f>lifespans_all!$B$219</c:f>
              <c:strCache>
                <c:ptCount val="1"/>
                <c:pt idx="0">
                  <c:v>Near Earth Robotic - GEO and Near Earth</c:v>
                </c:pt>
              </c:strCache>
            </c:strRef>
          </c:tx>
          <c:spPr>
            <a:solidFill>
              <a:schemeClr val="accent3"/>
            </a:solidFill>
            <a:ln>
              <a:noFill/>
            </a:ln>
            <a:effectLst/>
          </c:spPr>
          <c:cat>
            <c:numRef>
              <c:f>lifespans_all!$C$216:$L$216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lifespans_all!$C$219:$L$219</c:f>
              <c:numCache>
                <c:formatCode>0</c:formatCode>
                <c:ptCount val="10"/>
                <c:pt idx="0">
                  <c:v>8</c:v>
                </c:pt>
                <c:pt idx="1">
                  <c:v>8</c:v>
                </c:pt>
                <c:pt idx="2">
                  <c:v>8</c:v>
                </c:pt>
                <c:pt idx="3">
                  <c:v>8</c:v>
                </c:pt>
                <c:pt idx="4">
                  <c:v>8</c:v>
                </c:pt>
                <c:pt idx="5">
                  <c:v>8</c:v>
                </c:pt>
                <c:pt idx="6">
                  <c:v>8</c:v>
                </c:pt>
                <c:pt idx="7">
                  <c:v>8</c:v>
                </c:pt>
                <c:pt idx="8">
                  <c:v>8</c:v>
                </c:pt>
                <c:pt idx="9">
                  <c:v>8</c:v>
                </c:pt>
              </c:numCache>
            </c:numRef>
          </c:val>
          <c:extLst>
            <c:ext xmlns:c16="http://schemas.microsoft.com/office/drawing/2014/chart" uri="{C3380CC4-5D6E-409C-BE32-E72D297353CC}">
              <c16:uniqueId val="{00000002-ABAB-4E10-9550-C36C6B8CDD38}"/>
            </c:ext>
          </c:extLst>
        </c:ser>
        <c:ser>
          <c:idx val="3"/>
          <c:order val="3"/>
          <c:tx>
            <c:strRef>
              <c:f>lifespans_all!$B$220</c:f>
              <c:strCache>
                <c:ptCount val="1"/>
                <c:pt idx="0">
                  <c:v>Deep Space Robotic</c:v>
                </c:pt>
              </c:strCache>
            </c:strRef>
          </c:tx>
          <c:spPr>
            <a:solidFill>
              <a:schemeClr val="accent4"/>
            </a:solidFill>
            <a:ln w="25400">
              <a:noFill/>
            </a:ln>
            <a:effectLst/>
          </c:spPr>
          <c:cat>
            <c:numRef>
              <c:f>lifespans_all!$C$216:$L$216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lifespans_all!$C$220:$L$220</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ABAB-4E10-9550-C36C6B8CDD38}"/>
            </c:ext>
          </c:extLst>
        </c:ser>
        <c:ser>
          <c:idx val="4"/>
          <c:order val="4"/>
          <c:tx>
            <c:strRef>
              <c:f>lifespans_all!$B$221</c:f>
              <c:strCache>
                <c:ptCount val="1"/>
                <c:pt idx="0">
                  <c:v>Near Earth Robotic - Low Latency &amp; Complex Needs</c:v>
                </c:pt>
              </c:strCache>
            </c:strRef>
          </c:tx>
          <c:spPr>
            <a:solidFill>
              <a:schemeClr val="accent5"/>
            </a:solidFill>
            <a:ln w="25400">
              <a:noFill/>
            </a:ln>
            <a:effectLst/>
          </c:spPr>
          <c:cat>
            <c:numRef>
              <c:f>lifespans_all!$C$216:$L$216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lifespans_all!$C$221:$L$221</c:f>
              <c:numCache>
                <c:formatCode>0</c:formatCode>
                <c:ptCount val="10"/>
                <c:pt idx="0">
                  <c:v>0.9</c:v>
                </c:pt>
                <c:pt idx="1">
                  <c:v>0.8</c:v>
                </c:pt>
                <c:pt idx="2">
                  <c:v>0.7</c:v>
                </c:pt>
                <c:pt idx="3">
                  <c:v>0.6</c:v>
                </c:pt>
                <c:pt idx="4">
                  <c:v>0.5</c:v>
                </c:pt>
                <c:pt idx="5">
                  <c:v>0.4</c:v>
                </c:pt>
                <c:pt idx="6">
                  <c:v>0.30000000000000004</c:v>
                </c:pt>
                <c:pt idx="7">
                  <c:v>0.20000000000000007</c:v>
                </c:pt>
                <c:pt idx="8">
                  <c:v>0.10000000000000009</c:v>
                </c:pt>
                <c:pt idx="9">
                  <c:v>0</c:v>
                </c:pt>
              </c:numCache>
            </c:numRef>
          </c:val>
          <c:extLst>
            <c:ext xmlns:c16="http://schemas.microsoft.com/office/drawing/2014/chart" uri="{C3380CC4-5D6E-409C-BE32-E72D297353CC}">
              <c16:uniqueId val="{00000004-ABAB-4E10-9550-C36C6B8CDD38}"/>
            </c:ext>
          </c:extLst>
        </c:ser>
        <c:ser>
          <c:idx val="5"/>
          <c:order val="5"/>
          <c:tx>
            <c:strRef>
              <c:f>lifespans_all!$B$222</c:f>
              <c:strCache>
                <c:ptCount val="1"/>
                <c:pt idx="0">
                  <c:v>Mission Operations</c:v>
                </c:pt>
              </c:strCache>
            </c:strRef>
          </c:tx>
          <c:spPr>
            <a:solidFill>
              <a:schemeClr val="accent6"/>
            </a:solidFill>
            <a:ln w="25400">
              <a:noFill/>
            </a:ln>
            <a:effectLst/>
          </c:spPr>
          <c:cat>
            <c:numRef>
              <c:f>lifespans_all!$C$216:$L$216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lifespans_all!$C$222:$L$222</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ABAB-4E10-9550-C36C6B8CDD38}"/>
            </c:ext>
          </c:extLst>
        </c:ser>
        <c:ser>
          <c:idx val="6"/>
          <c:order val="6"/>
          <c:tx>
            <c:strRef>
              <c:f>lifespans_all!$B$223</c:f>
              <c:strCache>
                <c:ptCount val="1"/>
                <c:pt idx="0">
                  <c:v>Launch Events</c:v>
                </c:pt>
              </c:strCache>
            </c:strRef>
          </c:tx>
          <c:spPr>
            <a:solidFill>
              <a:schemeClr val="accent1">
                <a:lumMod val="60000"/>
              </a:schemeClr>
            </a:solidFill>
            <a:ln w="25400">
              <a:noFill/>
            </a:ln>
            <a:effectLst/>
          </c:spPr>
          <c:cat>
            <c:numRef>
              <c:f>lifespans_all!$C$216:$L$216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lifespans_all!$C$223:$L$223</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6-ABAB-4E10-9550-C36C6B8CDD38}"/>
            </c:ext>
          </c:extLst>
        </c:ser>
        <c:ser>
          <c:idx val="7"/>
          <c:order val="7"/>
          <c:tx>
            <c:strRef>
              <c:f>lifespans_all!$B$224</c:f>
              <c:strCache>
                <c:ptCount val="1"/>
                <c:pt idx="0">
                  <c:v>Terrestrial &amp; Aerial</c:v>
                </c:pt>
              </c:strCache>
            </c:strRef>
          </c:tx>
          <c:spPr>
            <a:solidFill>
              <a:schemeClr val="accent2">
                <a:lumMod val="60000"/>
              </a:schemeClr>
            </a:solidFill>
            <a:ln w="25400">
              <a:noFill/>
            </a:ln>
            <a:effectLst/>
          </c:spPr>
          <c:cat>
            <c:numRef>
              <c:f>lifespans_all!$C$216:$L$216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lifespans_all!$C$224:$L$224</c:f>
              <c:numCache>
                <c:formatCode>0</c:formatCode>
                <c:ptCount val="10"/>
                <c:pt idx="0">
                  <c:v>2.7</c:v>
                </c:pt>
                <c:pt idx="1">
                  <c:v>2.4</c:v>
                </c:pt>
                <c:pt idx="2">
                  <c:v>2.1</c:v>
                </c:pt>
                <c:pt idx="3">
                  <c:v>1.8</c:v>
                </c:pt>
                <c:pt idx="4">
                  <c:v>1.5</c:v>
                </c:pt>
                <c:pt idx="5">
                  <c:v>1.2</c:v>
                </c:pt>
                <c:pt idx="6">
                  <c:v>0.89999999999999991</c:v>
                </c:pt>
                <c:pt idx="7">
                  <c:v>0.60000000000000009</c:v>
                </c:pt>
                <c:pt idx="8">
                  <c:v>0.30000000000000027</c:v>
                </c:pt>
                <c:pt idx="9">
                  <c:v>4.4408920985006262E-16</c:v>
                </c:pt>
              </c:numCache>
            </c:numRef>
          </c:val>
          <c:extLst>
            <c:ext xmlns:c16="http://schemas.microsoft.com/office/drawing/2014/chart" uri="{C3380CC4-5D6E-409C-BE32-E72D297353CC}">
              <c16:uniqueId val="{00000007-ABAB-4E10-9550-C36C6B8CDD38}"/>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Missions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3619883861336186"/>
          <c:w val="0.90748717991544758"/>
          <c:h val="0.1466441776488521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Lifespans (Low)</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9.6091211213008509E-2"/>
          <c:y val="0.17336106857221301"/>
          <c:w val="0.861110990145874"/>
          <c:h val="0.56358991741626518"/>
        </c:manualLayout>
      </c:layout>
      <c:areaChart>
        <c:grouping val="stacked"/>
        <c:varyColors val="0"/>
        <c:ser>
          <c:idx val="0"/>
          <c:order val="0"/>
          <c:tx>
            <c:strRef>
              <c:f>lifespans_all!$B$74</c:f>
              <c:strCache>
                <c:ptCount val="1"/>
                <c:pt idx="0">
                  <c:v>Existing</c:v>
                </c:pt>
              </c:strCache>
            </c:strRef>
          </c:tx>
          <c:spPr>
            <a:solidFill>
              <a:schemeClr val="accent1"/>
            </a:solidFill>
            <a:ln>
              <a:noFill/>
            </a:ln>
            <a:effectLst/>
          </c:spPr>
          <c:cat>
            <c:numRef>
              <c:f>lifespans_all!$C$73:$L$73</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lifespans_all!$C$74:$L$74</c:f>
              <c:numCache>
                <c:formatCode>General</c:formatCode>
                <c:ptCount val="10"/>
                <c:pt idx="0">
                  <c:v>42</c:v>
                </c:pt>
                <c:pt idx="1">
                  <c:v>38</c:v>
                </c:pt>
                <c:pt idx="2">
                  <c:v>32</c:v>
                </c:pt>
                <c:pt idx="3">
                  <c:v>29</c:v>
                </c:pt>
                <c:pt idx="4">
                  <c:v>24</c:v>
                </c:pt>
                <c:pt idx="5">
                  <c:v>20</c:v>
                </c:pt>
                <c:pt idx="6">
                  <c:v>17</c:v>
                </c:pt>
                <c:pt idx="7">
                  <c:v>15</c:v>
                </c:pt>
                <c:pt idx="8">
                  <c:v>15</c:v>
                </c:pt>
                <c:pt idx="9">
                  <c:v>15</c:v>
                </c:pt>
              </c:numCache>
            </c:numRef>
          </c:val>
          <c:extLst>
            <c:ext xmlns:c16="http://schemas.microsoft.com/office/drawing/2014/chart" uri="{C3380CC4-5D6E-409C-BE32-E72D297353CC}">
              <c16:uniqueId val="{00000000-9963-4133-BA4C-9A3BE9DDE159}"/>
            </c:ext>
          </c:extLst>
        </c:ser>
        <c:ser>
          <c:idx val="1"/>
          <c:order val="1"/>
          <c:tx>
            <c:strRef>
              <c:f>lifespans_all!$B$75</c:f>
              <c:strCache>
                <c:ptCount val="1"/>
                <c:pt idx="0">
                  <c:v>Replacement</c:v>
                </c:pt>
              </c:strCache>
            </c:strRef>
          </c:tx>
          <c:spPr>
            <a:solidFill>
              <a:schemeClr val="accent2"/>
            </a:solidFill>
            <a:ln>
              <a:noFill/>
            </a:ln>
            <a:effectLst/>
          </c:spPr>
          <c:cat>
            <c:numRef>
              <c:f>lifespans_all!$C$73:$L$73</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lifespans_all!$C$75:$L$75</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9963-4133-BA4C-9A3BE9DDE159}"/>
            </c:ext>
          </c:extLst>
        </c:ser>
        <c:dLbls>
          <c:showLegendKey val="0"/>
          <c:showVal val="0"/>
          <c:showCatName val="0"/>
          <c:showSerName val="0"/>
          <c:showPercent val="0"/>
          <c:showBubbleSize val="0"/>
        </c:dLbls>
        <c:axId val="1043470975"/>
        <c:axId val="1043473471"/>
      </c:areaChart>
      <c:catAx>
        <c:axId val="104347097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473471"/>
        <c:crosses val="autoZero"/>
        <c:auto val="1"/>
        <c:lblAlgn val="ctr"/>
        <c:lblOffset val="100"/>
        <c:noMultiLvlLbl val="0"/>
      </c:catAx>
      <c:valAx>
        <c:axId val="1043473471"/>
        <c:scaling>
          <c:orientation val="minMax"/>
          <c:max val="9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Missions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470975"/>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Lifespans (Baseline)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9.5834501937446789E-2"/>
          <c:y val="0.17045203298868497"/>
          <c:w val="0.86148203445526572"/>
          <c:h val="0.57550860450885888"/>
        </c:manualLayout>
      </c:layout>
      <c:areaChart>
        <c:grouping val="stacked"/>
        <c:varyColors val="0"/>
        <c:ser>
          <c:idx val="0"/>
          <c:order val="0"/>
          <c:tx>
            <c:strRef>
              <c:f>lifespans_all!$B$152</c:f>
              <c:strCache>
                <c:ptCount val="1"/>
                <c:pt idx="0">
                  <c:v>Existing</c:v>
                </c:pt>
              </c:strCache>
            </c:strRef>
          </c:tx>
          <c:spPr>
            <a:solidFill>
              <a:schemeClr val="accent1"/>
            </a:solidFill>
            <a:ln>
              <a:noFill/>
            </a:ln>
            <a:effectLst/>
          </c:spPr>
          <c:cat>
            <c:numRef>
              <c:f>lifespans_all!$C$151:$L$151</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lifespans_all!$C$152:$L$152</c:f>
              <c:numCache>
                <c:formatCode>General</c:formatCode>
                <c:ptCount val="10"/>
                <c:pt idx="0">
                  <c:v>42</c:v>
                </c:pt>
                <c:pt idx="1">
                  <c:v>38</c:v>
                </c:pt>
                <c:pt idx="2">
                  <c:v>32</c:v>
                </c:pt>
                <c:pt idx="3">
                  <c:v>29</c:v>
                </c:pt>
                <c:pt idx="4">
                  <c:v>24</c:v>
                </c:pt>
                <c:pt idx="5">
                  <c:v>20</c:v>
                </c:pt>
                <c:pt idx="6">
                  <c:v>17</c:v>
                </c:pt>
                <c:pt idx="7">
                  <c:v>15</c:v>
                </c:pt>
                <c:pt idx="8">
                  <c:v>15</c:v>
                </c:pt>
                <c:pt idx="9">
                  <c:v>15</c:v>
                </c:pt>
              </c:numCache>
            </c:numRef>
          </c:val>
          <c:extLst>
            <c:ext xmlns:c16="http://schemas.microsoft.com/office/drawing/2014/chart" uri="{C3380CC4-5D6E-409C-BE32-E72D297353CC}">
              <c16:uniqueId val="{00000000-4ED5-4400-BEC1-AB7220960A9F}"/>
            </c:ext>
          </c:extLst>
        </c:ser>
        <c:ser>
          <c:idx val="1"/>
          <c:order val="1"/>
          <c:tx>
            <c:strRef>
              <c:f>lifespans_all!$B$153</c:f>
              <c:strCache>
                <c:ptCount val="1"/>
                <c:pt idx="0">
                  <c:v>Replacement</c:v>
                </c:pt>
              </c:strCache>
            </c:strRef>
          </c:tx>
          <c:spPr>
            <a:solidFill>
              <a:schemeClr val="accent2"/>
            </a:solidFill>
            <a:ln>
              <a:noFill/>
            </a:ln>
            <a:effectLst/>
          </c:spPr>
          <c:cat>
            <c:numRef>
              <c:f>lifespans_all!$C$151:$L$151</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lifespans_all!$C$153:$L$153</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4ED5-4400-BEC1-AB7220960A9F}"/>
            </c:ext>
          </c:extLst>
        </c:ser>
        <c:dLbls>
          <c:showLegendKey val="0"/>
          <c:showVal val="0"/>
          <c:showCatName val="0"/>
          <c:showSerName val="0"/>
          <c:showPercent val="0"/>
          <c:showBubbleSize val="0"/>
        </c:dLbls>
        <c:axId val="1043470975"/>
        <c:axId val="1043473471"/>
      </c:areaChart>
      <c:catAx>
        <c:axId val="104347097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473471"/>
        <c:crosses val="autoZero"/>
        <c:auto val="1"/>
        <c:lblAlgn val="ctr"/>
        <c:lblOffset val="100"/>
        <c:noMultiLvlLbl val="0"/>
      </c:catAx>
      <c:valAx>
        <c:axId val="1043473471"/>
        <c:scaling>
          <c:orientation val="minMax"/>
          <c:max val="9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Missions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470975"/>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Lifespans (High)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9.530414709722132E-2"/>
          <c:y val="0.16999577756044043"/>
          <c:w val="0.86224860257008495"/>
          <c:h val="0.58122818857342884"/>
        </c:manualLayout>
      </c:layout>
      <c:areaChart>
        <c:grouping val="stacked"/>
        <c:varyColors val="0"/>
        <c:ser>
          <c:idx val="0"/>
          <c:order val="0"/>
          <c:tx>
            <c:strRef>
              <c:f>lifespans_all!$B$230</c:f>
              <c:strCache>
                <c:ptCount val="1"/>
                <c:pt idx="0">
                  <c:v>Existing</c:v>
                </c:pt>
              </c:strCache>
            </c:strRef>
          </c:tx>
          <c:spPr>
            <a:solidFill>
              <a:schemeClr val="accent1"/>
            </a:solidFill>
            <a:ln>
              <a:noFill/>
            </a:ln>
            <a:effectLst/>
          </c:spPr>
          <c:cat>
            <c:numRef>
              <c:f>lifespans_all!$C$229:$L$229</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lifespans_all!$C$230:$L$230</c:f>
              <c:numCache>
                <c:formatCode>General</c:formatCode>
                <c:ptCount val="10"/>
                <c:pt idx="0">
                  <c:v>42</c:v>
                </c:pt>
                <c:pt idx="1">
                  <c:v>38</c:v>
                </c:pt>
                <c:pt idx="2">
                  <c:v>32</c:v>
                </c:pt>
                <c:pt idx="3">
                  <c:v>29</c:v>
                </c:pt>
                <c:pt idx="4">
                  <c:v>24</c:v>
                </c:pt>
                <c:pt idx="5">
                  <c:v>20</c:v>
                </c:pt>
                <c:pt idx="6">
                  <c:v>17</c:v>
                </c:pt>
                <c:pt idx="7">
                  <c:v>15</c:v>
                </c:pt>
                <c:pt idx="8">
                  <c:v>15</c:v>
                </c:pt>
                <c:pt idx="9">
                  <c:v>15</c:v>
                </c:pt>
              </c:numCache>
            </c:numRef>
          </c:val>
          <c:extLst>
            <c:ext xmlns:c16="http://schemas.microsoft.com/office/drawing/2014/chart" uri="{C3380CC4-5D6E-409C-BE32-E72D297353CC}">
              <c16:uniqueId val="{00000000-5C63-408C-814F-D7B36A4CA76A}"/>
            </c:ext>
          </c:extLst>
        </c:ser>
        <c:ser>
          <c:idx val="1"/>
          <c:order val="1"/>
          <c:tx>
            <c:strRef>
              <c:f>lifespans_all!$B$231</c:f>
              <c:strCache>
                <c:ptCount val="1"/>
                <c:pt idx="0">
                  <c:v>Replacement</c:v>
                </c:pt>
              </c:strCache>
            </c:strRef>
          </c:tx>
          <c:spPr>
            <a:solidFill>
              <a:schemeClr val="accent2"/>
            </a:solidFill>
            <a:ln>
              <a:noFill/>
            </a:ln>
            <a:effectLst/>
          </c:spPr>
          <c:cat>
            <c:numRef>
              <c:f>lifespans_all!$C$229:$L$229</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lifespans_all!$C$231:$L$231</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5C63-408C-814F-D7B36A4CA76A}"/>
            </c:ext>
          </c:extLst>
        </c:ser>
        <c:dLbls>
          <c:showLegendKey val="0"/>
          <c:showVal val="0"/>
          <c:showCatName val="0"/>
          <c:showSerName val="0"/>
          <c:showPercent val="0"/>
          <c:showBubbleSize val="0"/>
        </c:dLbls>
        <c:axId val="1043470975"/>
        <c:axId val="1043473471"/>
      </c:areaChart>
      <c:catAx>
        <c:axId val="104347097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473471"/>
        <c:crosses val="autoZero"/>
        <c:auto val="1"/>
        <c:lblAlgn val="ctr"/>
        <c:lblOffset val="100"/>
        <c:noMultiLvlLbl val="0"/>
      </c:catAx>
      <c:valAx>
        <c:axId val="1043473471"/>
        <c:scaling>
          <c:orientation val="minMax"/>
          <c:max val="9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Missions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470975"/>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DTE Demand Forecast</a:t>
            </a:r>
            <a:r>
              <a:rPr lang="en-US" baseline="0"/>
              <a:t> by Use Case </a:t>
            </a:r>
            <a:r>
              <a:rPr lang="en-US"/>
              <a:t>(Low)</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2302655687866396"/>
          <c:y val="0.10605799289048519"/>
          <c:w val="0.84501691986272398"/>
          <c:h val="0.60682971253468532"/>
        </c:manualLayout>
      </c:layout>
      <c:areaChart>
        <c:grouping val="stacked"/>
        <c:varyColors val="0"/>
        <c:ser>
          <c:idx val="0"/>
          <c:order val="0"/>
          <c:tx>
            <c:strRef>
              <c:f>DTE_demand_forecast!$B$62</c:f>
              <c:strCache>
                <c:ptCount val="1"/>
                <c:pt idx="0">
                  <c:v>Human Space Flight</c:v>
                </c:pt>
              </c:strCache>
            </c:strRef>
          </c:tx>
          <c:spPr>
            <a:solidFill>
              <a:schemeClr val="accent1"/>
            </a:solidFill>
            <a:ln>
              <a:noFill/>
            </a:ln>
            <a:effectLst/>
          </c:spPr>
          <c:cat>
            <c:numRef>
              <c:f>DTE_demand_forecast!$C$61:$L$61</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DTE_demand_forecast!$C$62:$L$62</c:f>
              <c:numCache>
                <c:formatCode>0</c:formatCode>
                <c:ptCount val="10"/>
                <c:pt idx="0">
                  <c:v>609439.12110527779</c:v>
                </c:pt>
                <c:pt idx="1">
                  <c:v>519948.9128763667</c:v>
                </c:pt>
                <c:pt idx="2">
                  <c:v>425948.74252356874</c:v>
                </c:pt>
                <c:pt idx="3">
                  <c:v>330762.42415212019</c:v>
                </c:pt>
                <c:pt idx="4">
                  <c:v>230621.78307160601</c:v>
                </c:pt>
                <c:pt idx="5">
                  <c:v>126621.17546217027</c:v>
                </c:pt>
                <c:pt idx="6">
                  <c:v>18646.258919088054</c:v>
                </c:pt>
                <c:pt idx="7">
                  <c:v>-93420.338671942241</c:v>
                </c:pt>
                <c:pt idx="8">
                  <c:v>-209699.09458622185</c:v>
                </c:pt>
                <c:pt idx="9">
                  <c:v>-330313.66851764405</c:v>
                </c:pt>
              </c:numCache>
            </c:numRef>
          </c:val>
          <c:extLst>
            <c:ext xmlns:c16="http://schemas.microsoft.com/office/drawing/2014/chart" uri="{C3380CC4-5D6E-409C-BE32-E72D297353CC}">
              <c16:uniqueId val="{00000000-E872-4F61-8DFE-34B643198BBD}"/>
            </c:ext>
          </c:extLst>
        </c:ser>
        <c:ser>
          <c:idx val="1"/>
          <c:order val="1"/>
          <c:tx>
            <c:strRef>
              <c:f>DTE_demand_forecast!$B$63</c:f>
              <c:strCache>
                <c:ptCount val="1"/>
                <c:pt idx="0">
                  <c:v>Near Earth Robotic - LEO Science</c:v>
                </c:pt>
              </c:strCache>
            </c:strRef>
          </c:tx>
          <c:spPr>
            <a:solidFill>
              <a:schemeClr val="accent2"/>
            </a:solidFill>
            <a:ln>
              <a:noFill/>
            </a:ln>
            <a:effectLst/>
          </c:spPr>
          <c:cat>
            <c:numRef>
              <c:f>DTE_demand_forecast!$C$61:$L$61</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DTE_demand_forecast!$C$63:$L$63</c:f>
              <c:numCache>
                <c:formatCode>0</c:formatCode>
                <c:ptCount val="10"/>
                <c:pt idx="0">
                  <c:v>941302.60667333298</c:v>
                </c:pt>
                <c:pt idx="1">
                  <c:v>717259.43297308381</c:v>
                </c:pt>
                <c:pt idx="2">
                  <c:v>593590.05382877064</c:v>
                </c:pt>
                <c:pt idx="3">
                  <c:v>388717.41040580696</c:v>
                </c:pt>
                <c:pt idx="4">
                  <c:v>466474.16585483303</c:v>
                </c:pt>
                <c:pt idx="5">
                  <c:v>412716.44129150582</c:v>
                </c:pt>
                <c:pt idx="6">
                  <c:v>363961.08296529512</c:v>
                </c:pt>
                <c:pt idx="7">
                  <c:v>419328.58300069306</c:v>
                </c:pt>
                <c:pt idx="8">
                  <c:v>418288.10647541087</c:v>
                </c:pt>
                <c:pt idx="9">
                  <c:v>417039.53464507207</c:v>
                </c:pt>
              </c:numCache>
            </c:numRef>
          </c:val>
          <c:extLst>
            <c:ext xmlns:c16="http://schemas.microsoft.com/office/drawing/2014/chart" uri="{C3380CC4-5D6E-409C-BE32-E72D297353CC}">
              <c16:uniqueId val="{00000001-E872-4F61-8DFE-34B643198BBD}"/>
            </c:ext>
          </c:extLst>
        </c:ser>
        <c:ser>
          <c:idx val="2"/>
          <c:order val="2"/>
          <c:tx>
            <c:strRef>
              <c:f>DTE_demand_forecast!$B$64</c:f>
              <c:strCache>
                <c:ptCount val="1"/>
                <c:pt idx="0">
                  <c:v>Near Earth Robotic - GEO and Near Earth</c:v>
                </c:pt>
              </c:strCache>
            </c:strRef>
          </c:tx>
          <c:spPr>
            <a:solidFill>
              <a:schemeClr val="accent3"/>
            </a:solidFill>
            <a:ln>
              <a:noFill/>
            </a:ln>
            <a:effectLst/>
          </c:spPr>
          <c:cat>
            <c:numRef>
              <c:f>DTE_demand_forecast!$C$61:$L$61</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DTE_demand_forecast!$C$64:$L$64</c:f>
              <c:numCache>
                <c:formatCode>0</c:formatCode>
                <c:ptCount val="10"/>
                <c:pt idx="0">
                  <c:v>14990.287088507932</c:v>
                </c:pt>
                <c:pt idx="1">
                  <c:v>14790.422113933966</c:v>
                </c:pt>
                <c:pt idx="2">
                  <c:v>16801.29468917078</c:v>
                </c:pt>
                <c:pt idx="3">
                  <c:v>16738.941275205882</c:v>
                </c:pt>
                <c:pt idx="4">
                  <c:v>16670.797901372818</c:v>
                </c:pt>
                <c:pt idx="5">
                  <c:v>16596.657910642443</c:v>
                </c:pt>
                <c:pt idx="6">
                  <c:v>16516.3086956884</c:v>
                </c:pt>
                <c:pt idx="7">
                  <c:v>16429.531543538033</c:v>
                </c:pt>
                <c:pt idx="8">
                  <c:v>16336.101476389471</c:v>
                </c:pt>
                <c:pt idx="9">
                  <c:v>16235.787088503646</c:v>
                </c:pt>
              </c:numCache>
            </c:numRef>
          </c:val>
          <c:extLst>
            <c:ext xmlns:c16="http://schemas.microsoft.com/office/drawing/2014/chart" uri="{C3380CC4-5D6E-409C-BE32-E72D297353CC}">
              <c16:uniqueId val="{00000002-E872-4F61-8DFE-34B643198BBD}"/>
            </c:ext>
          </c:extLst>
        </c:ser>
        <c:ser>
          <c:idx val="3"/>
          <c:order val="3"/>
          <c:tx>
            <c:strRef>
              <c:f>DTE_demand_forecast!$B$65</c:f>
              <c:strCache>
                <c:ptCount val="1"/>
                <c:pt idx="0">
                  <c:v>Deep Space Robotic</c:v>
                </c:pt>
              </c:strCache>
            </c:strRef>
          </c:tx>
          <c:spPr>
            <a:solidFill>
              <a:schemeClr val="accent4"/>
            </a:solidFill>
            <a:ln w="25400">
              <a:noFill/>
            </a:ln>
            <a:effectLst/>
          </c:spPr>
          <c:cat>
            <c:numRef>
              <c:f>DTE_demand_forecast!$C$61:$L$61</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DTE_demand_forecast!$C$65:$L$65</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E872-4F61-8DFE-34B643198BBD}"/>
            </c:ext>
          </c:extLst>
        </c:ser>
        <c:ser>
          <c:idx val="4"/>
          <c:order val="4"/>
          <c:tx>
            <c:strRef>
              <c:f>DTE_demand_forecast!$B$66</c:f>
              <c:strCache>
                <c:ptCount val="1"/>
                <c:pt idx="0">
                  <c:v>Near Earth Robotic - Low Latency &amp; Complex Needs</c:v>
                </c:pt>
              </c:strCache>
            </c:strRef>
          </c:tx>
          <c:spPr>
            <a:solidFill>
              <a:schemeClr val="accent5"/>
            </a:solidFill>
            <a:ln w="25400">
              <a:noFill/>
            </a:ln>
            <a:effectLst/>
          </c:spPr>
          <c:cat>
            <c:numRef>
              <c:f>DTE_demand_forecast!$C$61:$L$61</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DTE_demand_forecast!$C$66:$L$66</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E872-4F61-8DFE-34B643198BBD}"/>
            </c:ext>
          </c:extLst>
        </c:ser>
        <c:ser>
          <c:idx val="5"/>
          <c:order val="5"/>
          <c:tx>
            <c:strRef>
              <c:f>DTE_demand_forecast!$B$67</c:f>
              <c:strCache>
                <c:ptCount val="1"/>
                <c:pt idx="0">
                  <c:v>Mission Operations</c:v>
                </c:pt>
              </c:strCache>
            </c:strRef>
          </c:tx>
          <c:spPr>
            <a:solidFill>
              <a:schemeClr val="accent6"/>
            </a:solidFill>
            <a:ln w="25400">
              <a:noFill/>
            </a:ln>
            <a:effectLst/>
          </c:spPr>
          <c:cat>
            <c:numRef>
              <c:f>DTE_demand_forecast!$C$61:$L$61</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DTE_demand_forecast!$C$67:$L$67</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E872-4F61-8DFE-34B643198BBD}"/>
            </c:ext>
          </c:extLst>
        </c:ser>
        <c:ser>
          <c:idx val="6"/>
          <c:order val="6"/>
          <c:tx>
            <c:strRef>
              <c:f>DTE_demand_forecast!$B$68</c:f>
              <c:strCache>
                <c:ptCount val="1"/>
                <c:pt idx="0">
                  <c:v>Launch Events</c:v>
                </c:pt>
              </c:strCache>
            </c:strRef>
          </c:tx>
          <c:spPr>
            <a:solidFill>
              <a:schemeClr val="accent1">
                <a:lumMod val="60000"/>
              </a:schemeClr>
            </a:solidFill>
            <a:ln w="25400">
              <a:noFill/>
            </a:ln>
            <a:effectLst/>
          </c:spPr>
          <c:cat>
            <c:numRef>
              <c:f>DTE_demand_forecast!$C$61:$L$61</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DTE_demand_forecast!$C$68:$L$68</c:f>
              <c:numCache>
                <c:formatCode>0</c:formatCode>
                <c:ptCount val="10"/>
                <c:pt idx="0">
                  <c:v>1472.7862655555555</c:v>
                </c:pt>
                <c:pt idx="1">
                  <c:v>1512.0012127777777</c:v>
                </c:pt>
                <c:pt idx="2">
                  <c:v>1460.5163599999998</c:v>
                </c:pt>
                <c:pt idx="3">
                  <c:v>1477.6676861111109</c:v>
                </c:pt>
                <c:pt idx="4">
                  <c:v>1442.2270488888887</c:v>
                </c:pt>
                <c:pt idx="5">
                  <c:v>1442.2270488888887</c:v>
                </c:pt>
                <c:pt idx="6">
                  <c:v>1442.2270488888887</c:v>
                </c:pt>
                <c:pt idx="7">
                  <c:v>1442.2270488888887</c:v>
                </c:pt>
                <c:pt idx="8">
                  <c:v>1442.2270488888887</c:v>
                </c:pt>
                <c:pt idx="9">
                  <c:v>1442.2270488888887</c:v>
                </c:pt>
              </c:numCache>
            </c:numRef>
          </c:val>
          <c:extLst>
            <c:ext xmlns:c16="http://schemas.microsoft.com/office/drawing/2014/chart" uri="{C3380CC4-5D6E-409C-BE32-E72D297353CC}">
              <c16:uniqueId val="{00000006-E872-4F61-8DFE-34B643198BBD}"/>
            </c:ext>
          </c:extLst>
        </c:ser>
        <c:ser>
          <c:idx val="7"/>
          <c:order val="7"/>
          <c:tx>
            <c:strRef>
              <c:f>DTE_demand_forecast!$B$69</c:f>
              <c:strCache>
                <c:ptCount val="1"/>
                <c:pt idx="0">
                  <c:v>Terrestrial &amp; Aerial</c:v>
                </c:pt>
              </c:strCache>
            </c:strRef>
          </c:tx>
          <c:spPr>
            <a:solidFill>
              <a:schemeClr val="accent2">
                <a:lumMod val="60000"/>
              </a:schemeClr>
            </a:solidFill>
            <a:ln w="25400">
              <a:noFill/>
            </a:ln>
            <a:effectLst/>
          </c:spPr>
          <c:cat>
            <c:numRef>
              <c:f>DTE_demand_forecast!$C$61:$L$61</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DTE_demand_forecast!$C$69:$L$69</c:f>
              <c:numCache>
                <c:formatCode>0</c:formatCode>
                <c:ptCount val="10"/>
                <c:pt idx="0">
                  <c:v>64004.337319000013</c:v>
                </c:pt>
                <c:pt idx="1">
                  <c:v>127401.18589624894</c:v>
                </c:pt>
                <c:pt idx="2">
                  <c:v>100146.86040297127</c:v>
                </c:pt>
                <c:pt idx="3">
                  <c:v>71861.737723627579</c:v>
                </c:pt>
                <c:pt idx="4">
                  <c:v>42433.707937305822</c:v>
                </c:pt>
                <c:pt idx="5">
                  <c:v>109206.69086227258</c:v>
                </c:pt>
                <c:pt idx="6">
                  <c:v>79379.88279360767</c:v>
                </c:pt>
                <c:pt idx="7">
                  <c:v>48352.101260985946</c:v>
                </c:pt>
                <c:pt idx="8">
                  <c:v>16087.238049076564</c:v>
                </c:pt>
                <c:pt idx="9">
                  <c:v>-17451.778996678913</c:v>
                </c:pt>
              </c:numCache>
            </c:numRef>
          </c:val>
          <c:extLst>
            <c:ext xmlns:c16="http://schemas.microsoft.com/office/drawing/2014/chart" uri="{C3380CC4-5D6E-409C-BE32-E72D297353CC}">
              <c16:uniqueId val="{00000007-E872-4F61-8DFE-34B643198BBD}"/>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Minutes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DTE Demand Forecast by Use Case </a:t>
            </a:r>
            <a:r>
              <a:rPr lang="en-US"/>
              <a:t>(Baseline)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2632365848471122"/>
          <c:y val="0.10605799289048519"/>
          <c:w val="0.84171981825667663"/>
          <c:h val="0.61211338044219699"/>
        </c:manualLayout>
      </c:layout>
      <c:areaChart>
        <c:grouping val="stacked"/>
        <c:varyColors val="0"/>
        <c:ser>
          <c:idx val="0"/>
          <c:order val="0"/>
          <c:tx>
            <c:strRef>
              <c:f>DTE_demand_forecast!$B$141</c:f>
              <c:strCache>
                <c:ptCount val="1"/>
                <c:pt idx="0">
                  <c:v>Human Space Flight</c:v>
                </c:pt>
              </c:strCache>
            </c:strRef>
          </c:tx>
          <c:spPr>
            <a:solidFill>
              <a:schemeClr val="accent1"/>
            </a:solidFill>
            <a:ln>
              <a:noFill/>
            </a:ln>
            <a:effectLst/>
          </c:spPr>
          <c:cat>
            <c:numRef>
              <c:f>DTE_demand_forecast!$C$140:$L$140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DTE_demand_forecast!$C$141:$L$141</c:f>
              <c:numCache>
                <c:formatCode>0</c:formatCode>
                <c:ptCount val="10"/>
                <c:pt idx="0">
                  <c:v>609439.12110527779</c:v>
                </c:pt>
                <c:pt idx="1">
                  <c:v>519948.9128763667</c:v>
                </c:pt>
                <c:pt idx="2">
                  <c:v>425948.74252356874</c:v>
                </c:pt>
                <c:pt idx="3">
                  <c:v>330762.42415212019</c:v>
                </c:pt>
                <c:pt idx="4">
                  <c:v>230621.78307160601</c:v>
                </c:pt>
                <c:pt idx="5">
                  <c:v>126621.17546217027</c:v>
                </c:pt>
                <c:pt idx="6">
                  <c:v>18646.258919088054</c:v>
                </c:pt>
                <c:pt idx="7">
                  <c:v>-93420.338671942241</c:v>
                </c:pt>
                <c:pt idx="8">
                  <c:v>-209699.09458622185</c:v>
                </c:pt>
                <c:pt idx="9">
                  <c:v>-330313.66851764405</c:v>
                </c:pt>
              </c:numCache>
            </c:numRef>
          </c:val>
          <c:extLst>
            <c:ext xmlns:c16="http://schemas.microsoft.com/office/drawing/2014/chart" uri="{C3380CC4-5D6E-409C-BE32-E72D297353CC}">
              <c16:uniqueId val="{00000000-913C-4311-8A91-9296C3F0C1DB}"/>
            </c:ext>
          </c:extLst>
        </c:ser>
        <c:ser>
          <c:idx val="1"/>
          <c:order val="1"/>
          <c:tx>
            <c:strRef>
              <c:f>DTE_demand_forecast!$B$142</c:f>
              <c:strCache>
                <c:ptCount val="1"/>
                <c:pt idx="0">
                  <c:v>Near Earth Robotic - LEO Science</c:v>
                </c:pt>
              </c:strCache>
            </c:strRef>
          </c:tx>
          <c:spPr>
            <a:solidFill>
              <a:schemeClr val="accent2"/>
            </a:solidFill>
            <a:ln>
              <a:noFill/>
            </a:ln>
            <a:effectLst/>
          </c:spPr>
          <c:cat>
            <c:numRef>
              <c:f>DTE_demand_forecast!$C$140:$L$140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DTE_demand_forecast!$C$142:$L$142</c:f>
              <c:numCache>
                <c:formatCode>0</c:formatCode>
                <c:ptCount val="10"/>
                <c:pt idx="0">
                  <c:v>946594.00210999965</c:v>
                </c:pt>
                <c:pt idx="1">
                  <c:v>727512.82482435042</c:v>
                </c:pt>
                <c:pt idx="2">
                  <c:v>607178.55386637861</c:v>
                </c:pt>
                <c:pt idx="3">
                  <c:v>411334.80990627763</c:v>
                </c:pt>
                <c:pt idx="4">
                  <c:v>495311.35021793313</c:v>
                </c:pt>
                <c:pt idx="5">
                  <c:v>448013.15495194035</c:v>
                </c:pt>
                <c:pt idx="6">
                  <c:v>405964.17222121218</c:v>
                </c:pt>
                <c:pt idx="7">
                  <c:v>468292.18419044785</c:v>
                </c:pt>
                <c:pt idx="8">
                  <c:v>474473.83884065441</c:v>
                </c:pt>
                <c:pt idx="9">
                  <c:v>480716.69799234817</c:v>
                </c:pt>
              </c:numCache>
            </c:numRef>
          </c:val>
          <c:extLst>
            <c:ext xmlns:c16="http://schemas.microsoft.com/office/drawing/2014/chart" uri="{C3380CC4-5D6E-409C-BE32-E72D297353CC}">
              <c16:uniqueId val="{00000001-913C-4311-8A91-9296C3F0C1DB}"/>
            </c:ext>
          </c:extLst>
        </c:ser>
        <c:ser>
          <c:idx val="2"/>
          <c:order val="2"/>
          <c:tx>
            <c:strRef>
              <c:f>DTE_demand_forecast!$B$143</c:f>
              <c:strCache>
                <c:ptCount val="1"/>
                <c:pt idx="0">
                  <c:v>Near Earth Robotic - GEO and Near Earth</c:v>
                </c:pt>
              </c:strCache>
            </c:strRef>
          </c:tx>
          <c:spPr>
            <a:solidFill>
              <a:schemeClr val="accent3"/>
            </a:solidFill>
            <a:ln>
              <a:noFill/>
            </a:ln>
            <a:effectLst/>
          </c:spPr>
          <c:cat>
            <c:numRef>
              <c:f>DTE_demand_forecast!$C$140:$L$140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DTE_demand_forecast!$C$143:$L$143</c:f>
              <c:numCache>
                <c:formatCode>0</c:formatCode>
                <c:ptCount val="10"/>
                <c:pt idx="0">
                  <c:v>14990.287088507932</c:v>
                </c:pt>
                <c:pt idx="1">
                  <c:v>14790.422113933966</c:v>
                </c:pt>
                <c:pt idx="2">
                  <c:v>16801.29468917078</c:v>
                </c:pt>
                <c:pt idx="3">
                  <c:v>16738.941275205882</c:v>
                </c:pt>
                <c:pt idx="4">
                  <c:v>16670.797901372818</c:v>
                </c:pt>
                <c:pt idx="5">
                  <c:v>16596.657910642443</c:v>
                </c:pt>
                <c:pt idx="6">
                  <c:v>16516.3086956884</c:v>
                </c:pt>
                <c:pt idx="7">
                  <c:v>16429.531543538033</c:v>
                </c:pt>
                <c:pt idx="8">
                  <c:v>16336.101476389471</c:v>
                </c:pt>
                <c:pt idx="9">
                  <c:v>16235.787088503646</c:v>
                </c:pt>
              </c:numCache>
            </c:numRef>
          </c:val>
          <c:extLst>
            <c:ext xmlns:c16="http://schemas.microsoft.com/office/drawing/2014/chart" uri="{C3380CC4-5D6E-409C-BE32-E72D297353CC}">
              <c16:uniqueId val="{00000002-913C-4311-8A91-9296C3F0C1DB}"/>
            </c:ext>
          </c:extLst>
        </c:ser>
        <c:ser>
          <c:idx val="3"/>
          <c:order val="3"/>
          <c:tx>
            <c:strRef>
              <c:f>DTE_demand_forecast!$B$144</c:f>
              <c:strCache>
                <c:ptCount val="1"/>
                <c:pt idx="0">
                  <c:v>Deep Space Robotic</c:v>
                </c:pt>
              </c:strCache>
            </c:strRef>
          </c:tx>
          <c:spPr>
            <a:solidFill>
              <a:schemeClr val="accent4"/>
            </a:solidFill>
            <a:ln w="25400">
              <a:noFill/>
            </a:ln>
            <a:effectLst/>
          </c:spPr>
          <c:cat>
            <c:numRef>
              <c:f>DTE_demand_forecast!$C$140:$L$140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DTE_demand_forecast!$C$144:$L$144</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913C-4311-8A91-9296C3F0C1DB}"/>
            </c:ext>
          </c:extLst>
        </c:ser>
        <c:ser>
          <c:idx val="4"/>
          <c:order val="4"/>
          <c:tx>
            <c:strRef>
              <c:f>DTE_demand_forecast!$B$145</c:f>
              <c:strCache>
                <c:ptCount val="1"/>
                <c:pt idx="0">
                  <c:v>Near Earth Robotic - Low Latency &amp; Complex Needs</c:v>
                </c:pt>
              </c:strCache>
            </c:strRef>
          </c:tx>
          <c:spPr>
            <a:solidFill>
              <a:schemeClr val="accent5"/>
            </a:solidFill>
            <a:ln w="25400">
              <a:noFill/>
            </a:ln>
            <a:effectLst/>
          </c:spPr>
          <c:cat>
            <c:numRef>
              <c:f>DTE_demand_forecast!$C$140:$L$140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DTE_demand_forecast!$C$145:$L$145</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913C-4311-8A91-9296C3F0C1DB}"/>
            </c:ext>
          </c:extLst>
        </c:ser>
        <c:ser>
          <c:idx val="5"/>
          <c:order val="5"/>
          <c:tx>
            <c:strRef>
              <c:f>DTE_demand_forecast!$B$146</c:f>
              <c:strCache>
                <c:ptCount val="1"/>
                <c:pt idx="0">
                  <c:v>Mission Operations</c:v>
                </c:pt>
              </c:strCache>
            </c:strRef>
          </c:tx>
          <c:spPr>
            <a:solidFill>
              <a:schemeClr val="accent6"/>
            </a:solidFill>
            <a:ln w="25400">
              <a:noFill/>
            </a:ln>
            <a:effectLst/>
          </c:spPr>
          <c:cat>
            <c:numRef>
              <c:f>DTE_demand_forecast!$C$140:$L$140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DTE_demand_forecast!$C$146:$L$146</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913C-4311-8A91-9296C3F0C1DB}"/>
            </c:ext>
          </c:extLst>
        </c:ser>
        <c:ser>
          <c:idx val="6"/>
          <c:order val="6"/>
          <c:tx>
            <c:strRef>
              <c:f>DTE_demand_forecast!$B$147</c:f>
              <c:strCache>
                <c:ptCount val="1"/>
                <c:pt idx="0">
                  <c:v>Launch Events</c:v>
                </c:pt>
              </c:strCache>
            </c:strRef>
          </c:tx>
          <c:spPr>
            <a:solidFill>
              <a:schemeClr val="accent1">
                <a:lumMod val="60000"/>
              </a:schemeClr>
            </a:solidFill>
            <a:ln w="25400">
              <a:noFill/>
            </a:ln>
            <a:effectLst/>
          </c:spPr>
          <c:cat>
            <c:numRef>
              <c:f>DTE_demand_forecast!$C$140:$L$140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DTE_demand_forecast!$C$147:$L$147</c:f>
              <c:numCache>
                <c:formatCode>0</c:formatCode>
                <c:ptCount val="10"/>
                <c:pt idx="0">
                  <c:v>1472.7862655555555</c:v>
                </c:pt>
                <c:pt idx="1">
                  <c:v>1512.0012127777777</c:v>
                </c:pt>
                <c:pt idx="2">
                  <c:v>1460.5163599999998</c:v>
                </c:pt>
                <c:pt idx="3">
                  <c:v>1477.6676861111109</c:v>
                </c:pt>
                <c:pt idx="4">
                  <c:v>1442.2270488888887</c:v>
                </c:pt>
                <c:pt idx="5">
                  <c:v>1442.2270488888887</c:v>
                </c:pt>
                <c:pt idx="6">
                  <c:v>1442.2270488888887</c:v>
                </c:pt>
                <c:pt idx="7">
                  <c:v>1442.2270488888887</c:v>
                </c:pt>
                <c:pt idx="8">
                  <c:v>1442.2270488888887</c:v>
                </c:pt>
                <c:pt idx="9">
                  <c:v>1442.2270488888887</c:v>
                </c:pt>
              </c:numCache>
            </c:numRef>
          </c:val>
          <c:extLst>
            <c:ext xmlns:c16="http://schemas.microsoft.com/office/drawing/2014/chart" uri="{C3380CC4-5D6E-409C-BE32-E72D297353CC}">
              <c16:uniqueId val="{00000006-913C-4311-8A91-9296C3F0C1DB}"/>
            </c:ext>
          </c:extLst>
        </c:ser>
        <c:ser>
          <c:idx val="7"/>
          <c:order val="7"/>
          <c:tx>
            <c:strRef>
              <c:f>DTE_demand_forecast!$B$148</c:f>
              <c:strCache>
                <c:ptCount val="1"/>
                <c:pt idx="0">
                  <c:v>Terrestrial &amp; Aerial</c:v>
                </c:pt>
              </c:strCache>
            </c:strRef>
          </c:tx>
          <c:spPr>
            <a:solidFill>
              <a:schemeClr val="accent2">
                <a:lumMod val="60000"/>
              </a:schemeClr>
            </a:solidFill>
            <a:ln w="25400">
              <a:noFill/>
            </a:ln>
            <a:effectLst/>
          </c:spPr>
          <c:cat>
            <c:numRef>
              <c:f>DTE_demand_forecast!$C$140:$L$140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DTE_demand_forecast!$C$148:$L$148</c:f>
              <c:numCache>
                <c:formatCode>0</c:formatCode>
                <c:ptCount val="10"/>
                <c:pt idx="0">
                  <c:v>64004.337319000013</c:v>
                </c:pt>
                <c:pt idx="1">
                  <c:v>127401.18589624894</c:v>
                </c:pt>
                <c:pt idx="2">
                  <c:v>100146.86040297127</c:v>
                </c:pt>
                <c:pt idx="3">
                  <c:v>71861.737723627579</c:v>
                </c:pt>
                <c:pt idx="4">
                  <c:v>42433.707937305822</c:v>
                </c:pt>
                <c:pt idx="5">
                  <c:v>109206.69086227258</c:v>
                </c:pt>
                <c:pt idx="6">
                  <c:v>79379.88279360767</c:v>
                </c:pt>
                <c:pt idx="7">
                  <c:v>48352.101260985946</c:v>
                </c:pt>
                <c:pt idx="8">
                  <c:v>16087.238049076564</c:v>
                </c:pt>
                <c:pt idx="9">
                  <c:v>-17451.778996678913</c:v>
                </c:pt>
              </c:numCache>
            </c:numRef>
          </c:val>
          <c:extLst>
            <c:ext xmlns:c16="http://schemas.microsoft.com/office/drawing/2014/chart" uri="{C3380CC4-5D6E-409C-BE32-E72D297353CC}">
              <c16:uniqueId val="{00000007-913C-4311-8A91-9296C3F0C1DB}"/>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Minutes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DTE Demand Forecast by Use Case </a:t>
            </a:r>
            <a:r>
              <a:rPr lang="en-US"/>
              <a:t>(High)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3055071182579744"/>
          <c:y val="0.10605799289048519"/>
          <c:w val="0.83749276491559022"/>
          <c:h val="0.59813085403477473"/>
        </c:manualLayout>
      </c:layout>
      <c:areaChart>
        <c:grouping val="stacked"/>
        <c:varyColors val="0"/>
        <c:ser>
          <c:idx val="0"/>
          <c:order val="0"/>
          <c:tx>
            <c:strRef>
              <c:f>DTE_demand_forecast!$B$220</c:f>
              <c:strCache>
                <c:ptCount val="1"/>
                <c:pt idx="0">
                  <c:v>Human Space Flight</c:v>
                </c:pt>
              </c:strCache>
            </c:strRef>
          </c:tx>
          <c:spPr>
            <a:solidFill>
              <a:schemeClr val="accent1"/>
            </a:solidFill>
            <a:ln>
              <a:noFill/>
            </a:ln>
            <a:effectLst/>
          </c:spPr>
          <c:cat>
            <c:numRef>
              <c:f>DTE_demand_forecast!$C$219:$L$219</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DTE_demand_forecast!$C$220:$L$220</c:f>
              <c:numCache>
                <c:formatCode>0</c:formatCode>
                <c:ptCount val="10"/>
                <c:pt idx="0">
                  <c:v>609439.12110527779</c:v>
                </c:pt>
                <c:pt idx="1">
                  <c:v>519948.9128763667</c:v>
                </c:pt>
                <c:pt idx="2">
                  <c:v>425948.74252356874</c:v>
                </c:pt>
                <c:pt idx="3">
                  <c:v>330762.42415212019</c:v>
                </c:pt>
                <c:pt idx="4">
                  <c:v>230621.78307160601</c:v>
                </c:pt>
                <c:pt idx="5">
                  <c:v>126621.17546217027</c:v>
                </c:pt>
                <c:pt idx="6">
                  <c:v>18646.258919088054</c:v>
                </c:pt>
                <c:pt idx="7">
                  <c:v>-93420.338671942241</c:v>
                </c:pt>
                <c:pt idx="8">
                  <c:v>-209699.09458622185</c:v>
                </c:pt>
                <c:pt idx="9">
                  <c:v>-330313.66851764405</c:v>
                </c:pt>
              </c:numCache>
            </c:numRef>
          </c:val>
          <c:extLst>
            <c:ext xmlns:c16="http://schemas.microsoft.com/office/drawing/2014/chart" uri="{C3380CC4-5D6E-409C-BE32-E72D297353CC}">
              <c16:uniqueId val="{00000000-1732-4A95-A67F-761C6DAD399F}"/>
            </c:ext>
          </c:extLst>
        </c:ser>
        <c:ser>
          <c:idx val="1"/>
          <c:order val="1"/>
          <c:tx>
            <c:strRef>
              <c:f>DTE_demand_forecast!$B$221</c:f>
              <c:strCache>
                <c:ptCount val="1"/>
                <c:pt idx="0">
                  <c:v>Near Earth Robotic - LEO Science</c:v>
                </c:pt>
              </c:strCache>
            </c:strRef>
          </c:tx>
          <c:spPr>
            <a:solidFill>
              <a:schemeClr val="accent2"/>
            </a:solidFill>
            <a:ln>
              <a:noFill/>
            </a:ln>
            <a:effectLst/>
          </c:spPr>
          <c:cat>
            <c:numRef>
              <c:f>DTE_demand_forecast!$C$219:$L$219</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DTE_demand_forecast!$C$221:$L$221</c:f>
              <c:numCache>
                <c:formatCode>0</c:formatCode>
                <c:ptCount val="10"/>
                <c:pt idx="0">
                  <c:v>949239.69982833299</c:v>
                </c:pt>
                <c:pt idx="1">
                  <c:v>732639.52074998373</c:v>
                </c:pt>
                <c:pt idx="2">
                  <c:v>613972.8038851826</c:v>
                </c:pt>
                <c:pt idx="3">
                  <c:v>422643.50965651299</c:v>
                </c:pt>
                <c:pt idx="4">
                  <c:v>509729.94239948317</c:v>
                </c:pt>
                <c:pt idx="5">
                  <c:v>465661.51178215758</c:v>
                </c:pt>
                <c:pt idx="6">
                  <c:v>426965.71684917068</c:v>
                </c:pt>
                <c:pt idx="7">
                  <c:v>492773.98478532524</c:v>
                </c:pt>
                <c:pt idx="8">
                  <c:v>502566.70502327621</c:v>
                </c:pt>
                <c:pt idx="9">
                  <c:v>512555.27966598619</c:v>
                </c:pt>
              </c:numCache>
            </c:numRef>
          </c:val>
          <c:extLst>
            <c:ext xmlns:c16="http://schemas.microsoft.com/office/drawing/2014/chart" uri="{C3380CC4-5D6E-409C-BE32-E72D297353CC}">
              <c16:uniqueId val="{00000001-1732-4A95-A67F-761C6DAD399F}"/>
            </c:ext>
          </c:extLst>
        </c:ser>
        <c:ser>
          <c:idx val="2"/>
          <c:order val="2"/>
          <c:tx>
            <c:strRef>
              <c:f>DTE_demand_forecast!$B$222</c:f>
              <c:strCache>
                <c:ptCount val="1"/>
                <c:pt idx="0">
                  <c:v>Near Earth Robotic - GEO and Near Earth</c:v>
                </c:pt>
              </c:strCache>
            </c:strRef>
          </c:tx>
          <c:spPr>
            <a:solidFill>
              <a:schemeClr val="accent3"/>
            </a:solidFill>
            <a:ln>
              <a:noFill/>
            </a:ln>
            <a:effectLst/>
          </c:spPr>
          <c:cat>
            <c:numRef>
              <c:f>DTE_demand_forecast!$C$219:$L$219</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DTE_demand_forecast!$C$222:$L$222</c:f>
              <c:numCache>
                <c:formatCode>0</c:formatCode>
                <c:ptCount val="10"/>
                <c:pt idx="0">
                  <c:v>15204.330498888885</c:v>
                </c:pt>
                <c:pt idx="1">
                  <c:v>15227.070671111109</c:v>
                </c:pt>
                <c:pt idx="2">
                  <c:v>17469.366981651809</c:v>
                </c:pt>
                <c:pt idx="3">
                  <c:v>17647.519592980083</c:v>
                </c:pt>
                <c:pt idx="4">
                  <c:v>17829.235256534921</c:v>
                </c:pt>
                <c:pt idx="5">
                  <c:v>18014.585233360856</c:v>
                </c:pt>
                <c:pt idx="6">
                  <c:v>18203.642209723315</c:v>
                </c:pt>
                <c:pt idx="7">
                  <c:v>18396.480325613018</c:v>
                </c:pt>
                <c:pt idx="8">
                  <c:v>18593.175203820516</c:v>
                </c:pt>
                <c:pt idx="9">
                  <c:v>18793.803979592165</c:v>
                </c:pt>
              </c:numCache>
            </c:numRef>
          </c:val>
          <c:extLst>
            <c:ext xmlns:c16="http://schemas.microsoft.com/office/drawing/2014/chart" uri="{C3380CC4-5D6E-409C-BE32-E72D297353CC}">
              <c16:uniqueId val="{00000002-1732-4A95-A67F-761C6DAD399F}"/>
            </c:ext>
          </c:extLst>
        </c:ser>
        <c:ser>
          <c:idx val="3"/>
          <c:order val="3"/>
          <c:tx>
            <c:strRef>
              <c:f>DTE_demand_forecast!$B$223</c:f>
              <c:strCache>
                <c:ptCount val="1"/>
                <c:pt idx="0">
                  <c:v>Deep Space Robotic</c:v>
                </c:pt>
              </c:strCache>
            </c:strRef>
          </c:tx>
          <c:spPr>
            <a:solidFill>
              <a:schemeClr val="accent4"/>
            </a:solidFill>
            <a:ln w="25400">
              <a:noFill/>
            </a:ln>
            <a:effectLst/>
          </c:spPr>
          <c:cat>
            <c:numRef>
              <c:f>DTE_demand_forecast!$C$219:$L$219</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DTE_demand_forecast!$C$223:$L$223</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1732-4A95-A67F-761C6DAD399F}"/>
            </c:ext>
          </c:extLst>
        </c:ser>
        <c:ser>
          <c:idx val="4"/>
          <c:order val="4"/>
          <c:tx>
            <c:strRef>
              <c:f>DTE_demand_forecast!$B$224</c:f>
              <c:strCache>
                <c:ptCount val="1"/>
                <c:pt idx="0">
                  <c:v>Near Earth Robotic - Low Latency &amp; Complex Needs</c:v>
                </c:pt>
              </c:strCache>
            </c:strRef>
          </c:tx>
          <c:spPr>
            <a:solidFill>
              <a:schemeClr val="accent5"/>
            </a:solidFill>
            <a:ln w="25400">
              <a:noFill/>
            </a:ln>
            <a:effectLst/>
          </c:spPr>
          <c:cat>
            <c:numRef>
              <c:f>DTE_demand_forecast!$C$219:$L$219</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DTE_demand_forecast!$C$224:$L$224</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1732-4A95-A67F-761C6DAD399F}"/>
            </c:ext>
          </c:extLst>
        </c:ser>
        <c:ser>
          <c:idx val="5"/>
          <c:order val="5"/>
          <c:tx>
            <c:strRef>
              <c:f>DTE_demand_forecast!$B$225</c:f>
              <c:strCache>
                <c:ptCount val="1"/>
                <c:pt idx="0">
                  <c:v>Mission Operations</c:v>
                </c:pt>
              </c:strCache>
            </c:strRef>
          </c:tx>
          <c:spPr>
            <a:solidFill>
              <a:schemeClr val="accent6"/>
            </a:solidFill>
            <a:ln w="25400">
              <a:noFill/>
            </a:ln>
            <a:effectLst/>
          </c:spPr>
          <c:cat>
            <c:numRef>
              <c:f>DTE_demand_forecast!$C$219:$L$219</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DTE_demand_forecast!$C$225:$L$225</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1732-4A95-A67F-761C6DAD399F}"/>
            </c:ext>
          </c:extLst>
        </c:ser>
        <c:ser>
          <c:idx val="6"/>
          <c:order val="6"/>
          <c:tx>
            <c:strRef>
              <c:f>DTE_demand_forecast!$B$226</c:f>
              <c:strCache>
                <c:ptCount val="1"/>
                <c:pt idx="0">
                  <c:v>Launch Events</c:v>
                </c:pt>
              </c:strCache>
            </c:strRef>
          </c:tx>
          <c:spPr>
            <a:solidFill>
              <a:schemeClr val="accent1">
                <a:lumMod val="60000"/>
              </a:schemeClr>
            </a:solidFill>
            <a:ln w="25400">
              <a:noFill/>
            </a:ln>
            <a:effectLst/>
          </c:spPr>
          <c:cat>
            <c:numRef>
              <c:f>DTE_demand_forecast!$C$219:$L$219</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DTE_demand_forecast!$C$226:$L$226</c:f>
              <c:numCache>
                <c:formatCode>0</c:formatCode>
                <c:ptCount val="10"/>
                <c:pt idx="0">
                  <c:v>1472.7862655555555</c:v>
                </c:pt>
                <c:pt idx="1">
                  <c:v>1512.0012127777777</c:v>
                </c:pt>
                <c:pt idx="2">
                  <c:v>1460.5163599999998</c:v>
                </c:pt>
                <c:pt idx="3">
                  <c:v>1477.6676861111109</c:v>
                </c:pt>
                <c:pt idx="4">
                  <c:v>1442.2270488888887</c:v>
                </c:pt>
                <c:pt idx="5">
                  <c:v>1442.2270488888887</c:v>
                </c:pt>
                <c:pt idx="6">
                  <c:v>1442.2270488888887</c:v>
                </c:pt>
                <c:pt idx="7">
                  <c:v>1442.2270488888887</c:v>
                </c:pt>
                <c:pt idx="8">
                  <c:v>1442.2270488888887</c:v>
                </c:pt>
                <c:pt idx="9">
                  <c:v>1442.2270488888887</c:v>
                </c:pt>
              </c:numCache>
            </c:numRef>
          </c:val>
          <c:extLst>
            <c:ext xmlns:c16="http://schemas.microsoft.com/office/drawing/2014/chart" uri="{C3380CC4-5D6E-409C-BE32-E72D297353CC}">
              <c16:uniqueId val="{00000006-1732-4A95-A67F-761C6DAD399F}"/>
            </c:ext>
          </c:extLst>
        </c:ser>
        <c:ser>
          <c:idx val="7"/>
          <c:order val="7"/>
          <c:tx>
            <c:strRef>
              <c:f>DTE_demand_forecast!$B$227</c:f>
              <c:strCache>
                <c:ptCount val="1"/>
                <c:pt idx="0">
                  <c:v>Terrestrial &amp; Aerial</c:v>
                </c:pt>
              </c:strCache>
            </c:strRef>
          </c:tx>
          <c:spPr>
            <a:solidFill>
              <a:schemeClr val="accent2">
                <a:lumMod val="60000"/>
              </a:schemeClr>
            </a:solidFill>
            <a:ln w="25400">
              <a:noFill/>
            </a:ln>
            <a:effectLst/>
          </c:spPr>
          <c:cat>
            <c:numRef>
              <c:f>DTE_demand_forecast!$C$219:$L$219</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DTE_demand_forecast!$C$227:$L$227</c:f>
              <c:numCache>
                <c:formatCode>0</c:formatCode>
                <c:ptCount val="10"/>
                <c:pt idx="0">
                  <c:v>64004.337319000013</c:v>
                </c:pt>
                <c:pt idx="1">
                  <c:v>127401.18589624894</c:v>
                </c:pt>
                <c:pt idx="2">
                  <c:v>100146.86040297127</c:v>
                </c:pt>
                <c:pt idx="3">
                  <c:v>71861.737723627579</c:v>
                </c:pt>
                <c:pt idx="4">
                  <c:v>42433.707937305822</c:v>
                </c:pt>
                <c:pt idx="5">
                  <c:v>109206.69086227258</c:v>
                </c:pt>
                <c:pt idx="6">
                  <c:v>79379.88279360767</c:v>
                </c:pt>
                <c:pt idx="7">
                  <c:v>48352.101260985946</c:v>
                </c:pt>
                <c:pt idx="8">
                  <c:v>16087.238049076564</c:v>
                </c:pt>
                <c:pt idx="9">
                  <c:v>-17451.778996678913</c:v>
                </c:pt>
              </c:numCache>
            </c:numRef>
          </c:val>
          <c:extLst>
            <c:ext xmlns:c16="http://schemas.microsoft.com/office/drawing/2014/chart" uri="{C3380CC4-5D6E-409C-BE32-E72D297353CC}">
              <c16:uniqueId val="{00000007-1732-4A95-A67F-761C6DAD399F}"/>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Minutes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SR Demand Forecast by Use Case (Low)</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5048881531606909"/>
          <c:y val="0.10605799289048519"/>
          <c:w val="0.81755463596923572"/>
          <c:h val="0.60682971253468532"/>
        </c:manualLayout>
      </c:layout>
      <c:areaChart>
        <c:grouping val="stacked"/>
        <c:varyColors val="0"/>
        <c:ser>
          <c:idx val="0"/>
          <c:order val="0"/>
          <c:tx>
            <c:strRef>
              <c:f>SR_demand_forecast!$B$56</c:f>
              <c:strCache>
                <c:ptCount val="1"/>
                <c:pt idx="0">
                  <c:v>Human Space Flight</c:v>
                </c:pt>
              </c:strCache>
            </c:strRef>
          </c:tx>
          <c:spPr>
            <a:solidFill>
              <a:schemeClr val="accent1"/>
            </a:solidFill>
            <a:ln>
              <a:noFill/>
            </a:ln>
            <a:effectLst/>
          </c:spPr>
          <c:cat>
            <c:numRef>
              <c:f>SR_demand_forecast!$C$55:$L$55</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SR_demand_forecast!$C$56:$L$56</c:f>
              <c:numCache>
                <c:formatCode>_(* #,##0_);_(* \(#,##0\);_(* "-"??_);_(@_)</c:formatCode>
                <c:ptCount val="10"/>
                <c:pt idx="0">
                  <c:v>402076.5</c:v>
                </c:pt>
                <c:pt idx="1">
                  <c:v>342339.42</c:v>
                </c:pt>
                <c:pt idx="2">
                  <c:v>280235.83259999997</c:v>
                </c:pt>
                <c:pt idx="3">
                  <c:v>215694.97233600001</c:v>
                </c:pt>
                <c:pt idx="4">
                  <c:v>148644.18972840003</c:v>
                </c:pt>
                <c:pt idx="5">
                  <c:v>79008.904227561608</c:v>
                </c:pt>
                <c:pt idx="6">
                  <c:v>6712.556030798296</c:v>
                </c:pt>
                <c:pt idx="7">
                  <c:v>-68323.443255526479</c:v>
                </c:pt>
                <c:pt idx="8">
                  <c:v>-146179.76113571669</c:v>
                </c:pt>
                <c:pt idx="9">
                  <c:v>-226939.19595381222</c:v>
                </c:pt>
              </c:numCache>
            </c:numRef>
          </c:val>
          <c:extLst>
            <c:ext xmlns:c16="http://schemas.microsoft.com/office/drawing/2014/chart" uri="{C3380CC4-5D6E-409C-BE32-E72D297353CC}">
              <c16:uniqueId val="{00000000-812D-46C2-B8E9-BDC041A77361}"/>
            </c:ext>
          </c:extLst>
        </c:ser>
        <c:ser>
          <c:idx val="1"/>
          <c:order val="1"/>
          <c:tx>
            <c:strRef>
              <c:f>SR_demand_forecast!$B$57</c:f>
              <c:strCache>
                <c:ptCount val="1"/>
                <c:pt idx="0">
                  <c:v>Near Earth Robotic - LEO Science</c:v>
                </c:pt>
              </c:strCache>
            </c:strRef>
          </c:tx>
          <c:spPr>
            <a:solidFill>
              <a:schemeClr val="accent2"/>
            </a:solidFill>
            <a:ln>
              <a:noFill/>
            </a:ln>
            <a:effectLst/>
          </c:spPr>
          <c:cat>
            <c:numRef>
              <c:f>SR_demand_forecast!$C$55:$L$55</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SR_demand_forecast!$C$57:$L$57</c:f>
              <c:numCache>
                <c:formatCode>_(* #,##0_);_(* \(#,##0\);_(* "-"??_);_(@_)</c:formatCode>
                <c:ptCount val="10"/>
                <c:pt idx="0">
                  <c:v>1080935.4388888888</c:v>
                </c:pt>
                <c:pt idx="1">
                  <c:v>996092.54422222218</c:v>
                </c:pt>
                <c:pt idx="2">
                  <c:v>1046574.0665488889</c:v>
                </c:pt>
                <c:pt idx="3">
                  <c:v>1036418.959020711</c:v>
                </c:pt>
                <c:pt idx="4">
                  <c:v>1069594.6991159599</c:v>
                </c:pt>
                <c:pt idx="5">
                  <c:v>1077714.4275647439</c:v>
                </c:pt>
                <c:pt idx="6">
                  <c:v>1093975.2753384996</c:v>
                </c:pt>
                <c:pt idx="7">
                  <c:v>1108702.206997768</c:v>
                </c:pt>
                <c:pt idx="8">
                  <c:v>1106097.2024524962</c:v>
                </c:pt>
                <c:pt idx="9">
                  <c:v>1102971.1969981694</c:v>
                </c:pt>
              </c:numCache>
            </c:numRef>
          </c:val>
          <c:extLst>
            <c:ext xmlns:c16="http://schemas.microsoft.com/office/drawing/2014/chart" uri="{C3380CC4-5D6E-409C-BE32-E72D297353CC}">
              <c16:uniqueId val="{00000001-812D-46C2-B8E9-BDC041A77361}"/>
            </c:ext>
          </c:extLst>
        </c:ser>
        <c:ser>
          <c:idx val="2"/>
          <c:order val="2"/>
          <c:tx>
            <c:strRef>
              <c:f>SR_demand_forecast!$B$58</c:f>
              <c:strCache>
                <c:ptCount val="1"/>
                <c:pt idx="0">
                  <c:v>Near Earth Robotic - GEO and Near Earth</c:v>
                </c:pt>
              </c:strCache>
            </c:strRef>
          </c:tx>
          <c:spPr>
            <a:solidFill>
              <a:schemeClr val="accent3"/>
            </a:solidFill>
            <a:ln>
              <a:noFill/>
            </a:ln>
            <a:effectLst/>
          </c:spPr>
          <c:cat>
            <c:numRef>
              <c:f>SR_demand_forecast!$C$55:$L$55</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SR_demand_forecast!$C$58:$L$58</c:f>
              <c:numCache>
                <c:formatCode>_(* #,##0_);_(* \(#,##0\);_(* "-"??_);_(@_)</c:formatCode>
                <c:ptCount val="10"/>
                <c:pt idx="0">
                  <c:v>6856.4285714285716</c:v>
                </c:pt>
                <c:pt idx="1">
                  <c:v>6610.5428571428574</c:v>
                </c:pt>
                <c:pt idx="2">
                  <c:v>9101.2705714285712</c:v>
                </c:pt>
                <c:pt idx="3">
                  <c:v>9032.3960914285708</c:v>
                </c:pt>
                <c:pt idx="4">
                  <c:v>8957.1261240000003</c:v>
                </c:pt>
                <c:pt idx="5">
                  <c:v>8875.2323994377148</c:v>
                </c:pt>
                <c:pt idx="6">
                  <c:v>8786.4800754433381</c:v>
                </c:pt>
                <c:pt idx="7">
                  <c:v>8690.6275655294085</c:v>
                </c:pt>
                <c:pt idx="8">
                  <c:v>8587.4263631887479</c:v>
                </c:pt>
                <c:pt idx="9">
                  <c:v>8476.6208617282482</c:v>
                </c:pt>
              </c:numCache>
            </c:numRef>
          </c:val>
          <c:extLst>
            <c:ext xmlns:c16="http://schemas.microsoft.com/office/drawing/2014/chart" uri="{C3380CC4-5D6E-409C-BE32-E72D297353CC}">
              <c16:uniqueId val="{00000002-812D-46C2-B8E9-BDC041A77361}"/>
            </c:ext>
          </c:extLst>
        </c:ser>
        <c:ser>
          <c:idx val="3"/>
          <c:order val="3"/>
          <c:tx>
            <c:strRef>
              <c:f>SR_demand_forecast!$B$59</c:f>
              <c:strCache>
                <c:ptCount val="1"/>
                <c:pt idx="0">
                  <c:v>Deep Space Robotic</c:v>
                </c:pt>
              </c:strCache>
            </c:strRef>
          </c:tx>
          <c:spPr>
            <a:solidFill>
              <a:schemeClr val="accent4"/>
            </a:solidFill>
            <a:ln w="25400">
              <a:noFill/>
            </a:ln>
            <a:effectLst/>
          </c:spPr>
          <c:cat>
            <c:numRef>
              <c:f>SR_demand_forecast!$C$55:$L$55</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SR_demand_forecast!$C$59:$L$59</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812D-46C2-B8E9-BDC041A77361}"/>
            </c:ext>
          </c:extLst>
        </c:ser>
        <c:ser>
          <c:idx val="4"/>
          <c:order val="4"/>
          <c:tx>
            <c:strRef>
              <c:f>SR_demand_forecast!$B$60</c:f>
              <c:strCache>
                <c:ptCount val="1"/>
                <c:pt idx="0">
                  <c:v>Near Earth Robotic - Low Latency &amp; Complex Needs</c:v>
                </c:pt>
              </c:strCache>
            </c:strRef>
          </c:tx>
          <c:spPr>
            <a:solidFill>
              <a:schemeClr val="accent5"/>
            </a:solidFill>
            <a:ln w="25400">
              <a:noFill/>
            </a:ln>
            <a:effectLst/>
          </c:spPr>
          <c:cat>
            <c:numRef>
              <c:f>SR_demand_forecast!$C$55:$L$55</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SR_demand_forecast!$C$60:$L$60</c:f>
              <c:numCache>
                <c:formatCode>_(* #,##0_);_(* \(#,##0\);_(* "-"??_);_(@_)</c:formatCode>
                <c:ptCount val="10"/>
                <c:pt idx="0">
                  <c:v>414.45</c:v>
                </c:pt>
                <c:pt idx="1">
                  <c:v>366.55799999999999</c:v>
                </c:pt>
                <c:pt idx="2">
                  <c:v>316.76873999999998</c:v>
                </c:pt>
                <c:pt idx="3">
                  <c:v>265.02548639999998</c:v>
                </c:pt>
                <c:pt idx="4">
                  <c:v>249.23000483999999</c:v>
                </c:pt>
                <c:pt idx="5">
                  <c:v>203.37168394944001</c:v>
                </c:pt>
                <c:pt idx="6">
                  <c:v>155.57933822132165</c:v>
                </c:pt>
                <c:pt idx="7">
                  <c:v>105.79394999049872</c:v>
                </c:pt>
                <c:pt idx="8">
                  <c:v>53.954914495154377</c:v>
                </c:pt>
                <c:pt idx="9">
                  <c:v>0</c:v>
                </c:pt>
              </c:numCache>
            </c:numRef>
          </c:val>
          <c:extLst>
            <c:ext xmlns:c16="http://schemas.microsoft.com/office/drawing/2014/chart" uri="{C3380CC4-5D6E-409C-BE32-E72D297353CC}">
              <c16:uniqueId val="{00000004-812D-46C2-B8E9-BDC041A77361}"/>
            </c:ext>
          </c:extLst>
        </c:ser>
        <c:ser>
          <c:idx val="5"/>
          <c:order val="5"/>
          <c:tx>
            <c:strRef>
              <c:f>SR_demand_forecast!$B$61</c:f>
              <c:strCache>
                <c:ptCount val="1"/>
                <c:pt idx="0">
                  <c:v>Mission Operations</c:v>
                </c:pt>
              </c:strCache>
            </c:strRef>
          </c:tx>
          <c:spPr>
            <a:solidFill>
              <a:schemeClr val="accent6"/>
            </a:solidFill>
            <a:ln w="25400">
              <a:noFill/>
            </a:ln>
            <a:effectLst/>
          </c:spPr>
          <c:cat>
            <c:numRef>
              <c:f>SR_demand_forecast!$C$55:$L$55</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SR_demand_forecast!$C$61:$L$61</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812D-46C2-B8E9-BDC041A77361}"/>
            </c:ext>
          </c:extLst>
        </c:ser>
        <c:ser>
          <c:idx val="6"/>
          <c:order val="6"/>
          <c:tx>
            <c:strRef>
              <c:f>SR_demand_forecast!$B$62</c:f>
              <c:strCache>
                <c:ptCount val="1"/>
                <c:pt idx="0">
                  <c:v>Launch Events</c:v>
                </c:pt>
              </c:strCache>
            </c:strRef>
          </c:tx>
          <c:spPr>
            <a:solidFill>
              <a:schemeClr val="accent1">
                <a:lumMod val="60000"/>
              </a:schemeClr>
            </a:solidFill>
            <a:ln w="25400">
              <a:noFill/>
            </a:ln>
            <a:effectLst/>
          </c:spPr>
          <c:cat>
            <c:numRef>
              <c:f>SR_demand_forecast!$C$55:$L$55</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SR_demand_forecast!$C$62:$L$62</c:f>
              <c:numCache>
                <c:formatCode>_(* #,##0_);_(* \(#,##0\);_(* "-"??_);_(@_)</c:formatCode>
                <c:ptCount val="10"/>
                <c:pt idx="0">
                  <c:v>6882</c:v>
                </c:pt>
                <c:pt idx="1">
                  <c:v>6882</c:v>
                </c:pt>
                <c:pt idx="2">
                  <c:v>6882</c:v>
                </c:pt>
                <c:pt idx="3">
                  <c:v>6882</c:v>
                </c:pt>
                <c:pt idx="4">
                  <c:v>4588</c:v>
                </c:pt>
                <c:pt idx="5">
                  <c:v>4588</c:v>
                </c:pt>
                <c:pt idx="6">
                  <c:v>4588</c:v>
                </c:pt>
                <c:pt idx="7">
                  <c:v>4588</c:v>
                </c:pt>
                <c:pt idx="8">
                  <c:v>4588</c:v>
                </c:pt>
                <c:pt idx="9">
                  <c:v>4588</c:v>
                </c:pt>
              </c:numCache>
            </c:numRef>
          </c:val>
          <c:extLst>
            <c:ext xmlns:c16="http://schemas.microsoft.com/office/drawing/2014/chart" uri="{C3380CC4-5D6E-409C-BE32-E72D297353CC}">
              <c16:uniqueId val="{00000006-812D-46C2-B8E9-BDC041A77361}"/>
            </c:ext>
          </c:extLst>
        </c:ser>
        <c:ser>
          <c:idx val="7"/>
          <c:order val="7"/>
          <c:tx>
            <c:strRef>
              <c:f>SR_demand_forecast!$B$63</c:f>
              <c:strCache>
                <c:ptCount val="1"/>
                <c:pt idx="0">
                  <c:v>Terrestrial &amp; Aerial</c:v>
                </c:pt>
              </c:strCache>
            </c:strRef>
          </c:tx>
          <c:spPr>
            <a:solidFill>
              <a:schemeClr val="accent2">
                <a:lumMod val="60000"/>
              </a:schemeClr>
            </a:solidFill>
            <a:ln w="25400">
              <a:noFill/>
            </a:ln>
            <a:effectLst/>
          </c:spPr>
          <c:cat>
            <c:numRef>
              <c:f>SR_demand_forecast!$C$55:$L$55</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SR_demand_forecast!$C$63:$L$63</c:f>
              <c:numCache>
                <c:formatCode>_(* #,##0_);_(* \(#,##0\);_(* "-"??_);_(@_)</c:formatCode>
                <c:ptCount val="10"/>
                <c:pt idx="0">
                  <c:v>91096.2</c:v>
                </c:pt>
                <c:pt idx="1">
                  <c:v>81244.314666666673</c:v>
                </c:pt>
                <c:pt idx="2">
                  <c:v>70988.906906666671</c:v>
                </c:pt>
                <c:pt idx="3">
                  <c:v>60317.776577066674</c:v>
                </c:pt>
                <c:pt idx="4">
                  <c:v>49218.39693818667</c:v>
                </c:pt>
                <c:pt idx="5">
                  <c:v>41189.523382553176</c:v>
                </c:pt>
                <c:pt idx="6">
                  <c:v>29939.736408231212</c:v>
                </c:pt>
                <c:pt idx="7">
                  <c:v>18236.977878916696</c:v>
                </c:pt>
                <c:pt idx="8">
                  <c:v>6067.6288471996377</c:v>
                </c:pt>
                <c:pt idx="9">
                  <c:v>-6582.2932036043348</c:v>
                </c:pt>
              </c:numCache>
            </c:numRef>
          </c:val>
          <c:extLst>
            <c:ext xmlns:c16="http://schemas.microsoft.com/office/drawing/2014/chart" uri="{C3380CC4-5D6E-409C-BE32-E72D297353CC}">
              <c16:uniqueId val="{00000007-812D-46C2-B8E9-BDC041A77361}"/>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Minutes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SR Demand Forecast by Use Case (Baseline)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5048881531606909"/>
          <c:y val="0.10605799289048519"/>
          <c:w val="0.81755463596923572"/>
          <c:h val="0.60682971253468532"/>
        </c:manualLayout>
      </c:layout>
      <c:areaChart>
        <c:grouping val="stacked"/>
        <c:varyColors val="0"/>
        <c:ser>
          <c:idx val="0"/>
          <c:order val="0"/>
          <c:tx>
            <c:strRef>
              <c:f>SR_demand_forecast!$B$129</c:f>
              <c:strCache>
                <c:ptCount val="1"/>
                <c:pt idx="0">
                  <c:v>Human Space Flight</c:v>
                </c:pt>
              </c:strCache>
            </c:strRef>
          </c:tx>
          <c:spPr>
            <a:solidFill>
              <a:schemeClr val="accent1"/>
            </a:solidFill>
            <a:ln>
              <a:noFill/>
            </a:ln>
            <a:effectLst/>
          </c:spPr>
          <c:cat>
            <c:numRef>
              <c:f>SR_demand_forecast!$C$128:$L$128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SR_demand_forecast!$C$129:$L$129</c:f>
              <c:numCache>
                <c:formatCode>_(* #,##0_);_(* \(#,##0\);_(* "-"??_);_(@_)</c:formatCode>
                <c:ptCount val="10"/>
                <c:pt idx="0">
                  <c:v>402076.5</c:v>
                </c:pt>
                <c:pt idx="1">
                  <c:v>342339.42</c:v>
                </c:pt>
                <c:pt idx="2">
                  <c:v>280235.83259999997</c:v>
                </c:pt>
                <c:pt idx="3">
                  <c:v>215694.97233600001</c:v>
                </c:pt>
                <c:pt idx="4">
                  <c:v>148644.18972840003</c:v>
                </c:pt>
                <c:pt idx="5">
                  <c:v>79008.904227561608</c:v>
                </c:pt>
                <c:pt idx="6">
                  <c:v>6712.556030798296</c:v>
                </c:pt>
                <c:pt idx="7">
                  <c:v>-68323.443255526479</c:v>
                </c:pt>
                <c:pt idx="8">
                  <c:v>-146179.76113571669</c:v>
                </c:pt>
                <c:pt idx="9">
                  <c:v>-226939.19595381222</c:v>
                </c:pt>
              </c:numCache>
            </c:numRef>
          </c:val>
          <c:extLst>
            <c:ext xmlns:c16="http://schemas.microsoft.com/office/drawing/2014/chart" uri="{C3380CC4-5D6E-409C-BE32-E72D297353CC}">
              <c16:uniqueId val="{00000000-F0DD-4D54-A988-F5E7E318FB2A}"/>
            </c:ext>
          </c:extLst>
        </c:ser>
        <c:ser>
          <c:idx val="1"/>
          <c:order val="1"/>
          <c:tx>
            <c:strRef>
              <c:f>SR_demand_forecast!$B$130</c:f>
              <c:strCache>
                <c:ptCount val="1"/>
                <c:pt idx="0">
                  <c:v>Near Earth Robotic - LEO Science</c:v>
                </c:pt>
              </c:strCache>
            </c:strRef>
          </c:tx>
          <c:spPr>
            <a:solidFill>
              <a:schemeClr val="accent2"/>
            </a:solidFill>
            <a:ln>
              <a:noFill/>
            </a:ln>
            <a:effectLst/>
          </c:spPr>
          <c:cat>
            <c:numRef>
              <c:f>SR_demand_forecast!$C$128:$L$128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SR_demand_forecast!$C$130:$L$130</c:f>
              <c:numCache>
                <c:formatCode>_(* #,##0_);_(* \(#,##0\);_(* "-"??_);_(@_)</c:formatCode>
                <c:ptCount val="10"/>
                <c:pt idx="0">
                  <c:v>1094275.5166666666</c:v>
                </c:pt>
                <c:pt idx="1">
                  <c:v>1023306.3028888889</c:v>
                </c:pt>
                <c:pt idx="2">
                  <c:v>1088211.1173088888</c:v>
                </c:pt>
                <c:pt idx="3">
                  <c:v>1093045.3480543112</c:v>
                </c:pt>
                <c:pt idx="4">
                  <c:v>1141793.3451338001</c:v>
                </c:pt>
                <c:pt idx="5">
                  <c:v>1166085.5702905802</c:v>
                </c:pt>
                <c:pt idx="6">
                  <c:v>1199136.9351822447</c:v>
                </c:pt>
                <c:pt idx="7">
                  <c:v>1231290.6561870479</c:v>
                </c:pt>
                <c:pt idx="8">
                  <c:v>1246767.4478971949</c:v>
                </c:pt>
                <c:pt idx="9">
                  <c:v>1262397.4751688279</c:v>
                </c:pt>
              </c:numCache>
            </c:numRef>
          </c:val>
          <c:extLst>
            <c:ext xmlns:c16="http://schemas.microsoft.com/office/drawing/2014/chart" uri="{C3380CC4-5D6E-409C-BE32-E72D297353CC}">
              <c16:uniqueId val="{00000001-F0DD-4D54-A988-F5E7E318FB2A}"/>
            </c:ext>
          </c:extLst>
        </c:ser>
        <c:ser>
          <c:idx val="2"/>
          <c:order val="2"/>
          <c:tx>
            <c:strRef>
              <c:f>SR_demand_forecast!$B$131</c:f>
              <c:strCache>
                <c:ptCount val="1"/>
                <c:pt idx="0">
                  <c:v>Near Earth Robotic - GEO and Near Earth</c:v>
                </c:pt>
              </c:strCache>
            </c:strRef>
          </c:tx>
          <c:spPr>
            <a:solidFill>
              <a:schemeClr val="accent3"/>
            </a:solidFill>
            <a:ln>
              <a:noFill/>
            </a:ln>
            <a:effectLst/>
          </c:spPr>
          <c:cat>
            <c:numRef>
              <c:f>SR_demand_forecast!$C$128:$L$128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SR_demand_forecast!$C$131:$L$131</c:f>
              <c:numCache>
                <c:formatCode>_(* #,##0_);_(* \(#,##0\);_(* "-"??_);_(@_)</c:formatCode>
                <c:ptCount val="10"/>
                <c:pt idx="0">
                  <c:v>6856.4285714285716</c:v>
                </c:pt>
                <c:pt idx="1">
                  <c:v>6610.5428571428574</c:v>
                </c:pt>
                <c:pt idx="2">
                  <c:v>9101.2705714285712</c:v>
                </c:pt>
                <c:pt idx="3">
                  <c:v>9032.3960914285708</c:v>
                </c:pt>
                <c:pt idx="4">
                  <c:v>8957.1261240000003</c:v>
                </c:pt>
                <c:pt idx="5">
                  <c:v>8875.2323994377148</c:v>
                </c:pt>
                <c:pt idx="6">
                  <c:v>8786.4800754433381</c:v>
                </c:pt>
                <c:pt idx="7">
                  <c:v>8690.6275655294085</c:v>
                </c:pt>
                <c:pt idx="8">
                  <c:v>8587.4263631887479</c:v>
                </c:pt>
                <c:pt idx="9">
                  <c:v>8476.6208617282482</c:v>
                </c:pt>
              </c:numCache>
            </c:numRef>
          </c:val>
          <c:extLst>
            <c:ext xmlns:c16="http://schemas.microsoft.com/office/drawing/2014/chart" uri="{C3380CC4-5D6E-409C-BE32-E72D297353CC}">
              <c16:uniqueId val="{00000002-F0DD-4D54-A988-F5E7E318FB2A}"/>
            </c:ext>
          </c:extLst>
        </c:ser>
        <c:ser>
          <c:idx val="3"/>
          <c:order val="3"/>
          <c:tx>
            <c:strRef>
              <c:f>SR_demand_forecast!$B$132</c:f>
              <c:strCache>
                <c:ptCount val="1"/>
                <c:pt idx="0">
                  <c:v>Deep Space Robotic</c:v>
                </c:pt>
              </c:strCache>
            </c:strRef>
          </c:tx>
          <c:spPr>
            <a:solidFill>
              <a:schemeClr val="accent4"/>
            </a:solidFill>
            <a:ln w="25400">
              <a:noFill/>
            </a:ln>
            <a:effectLst/>
          </c:spPr>
          <c:cat>
            <c:numRef>
              <c:f>SR_demand_forecast!$C$128:$L$128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SR_demand_forecast!$C$132:$L$132</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F0DD-4D54-A988-F5E7E318FB2A}"/>
            </c:ext>
          </c:extLst>
        </c:ser>
        <c:ser>
          <c:idx val="4"/>
          <c:order val="4"/>
          <c:tx>
            <c:strRef>
              <c:f>SR_demand_forecast!$B$133</c:f>
              <c:strCache>
                <c:ptCount val="1"/>
                <c:pt idx="0">
                  <c:v>Near Earth Robotic - Low Latency &amp; Complex Needs</c:v>
                </c:pt>
              </c:strCache>
            </c:strRef>
          </c:tx>
          <c:spPr>
            <a:solidFill>
              <a:schemeClr val="accent5"/>
            </a:solidFill>
            <a:ln w="25400">
              <a:noFill/>
            </a:ln>
            <a:effectLst/>
          </c:spPr>
          <c:cat>
            <c:numRef>
              <c:f>SR_demand_forecast!$C$128:$L$128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SR_demand_forecast!$C$133:$L$133</c:f>
              <c:numCache>
                <c:formatCode>_(* #,##0_);_(* \(#,##0\);_(* "-"??_);_(@_)</c:formatCode>
                <c:ptCount val="10"/>
                <c:pt idx="0">
                  <c:v>414.45</c:v>
                </c:pt>
                <c:pt idx="1">
                  <c:v>366.55799999999999</c:v>
                </c:pt>
                <c:pt idx="2">
                  <c:v>316.76873999999998</c:v>
                </c:pt>
                <c:pt idx="3">
                  <c:v>265.02548639999998</c:v>
                </c:pt>
                <c:pt idx="4">
                  <c:v>249.23000483999999</c:v>
                </c:pt>
                <c:pt idx="5">
                  <c:v>203.37168394944001</c:v>
                </c:pt>
                <c:pt idx="6">
                  <c:v>155.57933822132165</c:v>
                </c:pt>
                <c:pt idx="7">
                  <c:v>105.79394999049872</c:v>
                </c:pt>
                <c:pt idx="8">
                  <c:v>53.954914495154377</c:v>
                </c:pt>
                <c:pt idx="9">
                  <c:v>0</c:v>
                </c:pt>
              </c:numCache>
            </c:numRef>
          </c:val>
          <c:extLst>
            <c:ext xmlns:c16="http://schemas.microsoft.com/office/drawing/2014/chart" uri="{C3380CC4-5D6E-409C-BE32-E72D297353CC}">
              <c16:uniqueId val="{00000004-F0DD-4D54-A988-F5E7E318FB2A}"/>
            </c:ext>
          </c:extLst>
        </c:ser>
        <c:ser>
          <c:idx val="5"/>
          <c:order val="5"/>
          <c:tx>
            <c:strRef>
              <c:f>SR_demand_forecast!$B$134</c:f>
              <c:strCache>
                <c:ptCount val="1"/>
                <c:pt idx="0">
                  <c:v>Mission Operations</c:v>
                </c:pt>
              </c:strCache>
            </c:strRef>
          </c:tx>
          <c:spPr>
            <a:solidFill>
              <a:schemeClr val="accent6"/>
            </a:solidFill>
            <a:ln w="25400">
              <a:noFill/>
            </a:ln>
            <a:effectLst/>
          </c:spPr>
          <c:cat>
            <c:numRef>
              <c:f>SR_demand_forecast!$C$128:$L$128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SR_demand_forecast!$C$134:$L$134</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F0DD-4D54-A988-F5E7E318FB2A}"/>
            </c:ext>
          </c:extLst>
        </c:ser>
        <c:ser>
          <c:idx val="6"/>
          <c:order val="6"/>
          <c:tx>
            <c:strRef>
              <c:f>SR_demand_forecast!$B$135</c:f>
              <c:strCache>
                <c:ptCount val="1"/>
                <c:pt idx="0">
                  <c:v>Launch Events</c:v>
                </c:pt>
              </c:strCache>
            </c:strRef>
          </c:tx>
          <c:spPr>
            <a:solidFill>
              <a:schemeClr val="accent1">
                <a:lumMod val="60000"/>
              </a:schemeClr>
            </a:solidFill>
            <a:ln w="25400">
              <a:noFill/>
            </a:ln>
            <a:effectLst/>
          </c:spPr>
          <c:cat>
            <c:numRef>
              <c:f>SR_demand_forecast!$C$128:$L$128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SR_demand_forecast!$C$135:$L$135</c:f>
              <c:numCache>
                <c:formatCode>_(* #,##0_);_(* \(#,##0\);_(* "-"??_);_(@_)</c:formatCode>
                <c:ptCount val="10"/>
                <c:pt idx="0">
                  <c:v>6882</c:v>
                </c:pt>
                <c:pt idx="1">
                  <c:v>6882</c:v>
                </c:pt>
                <c:pt idx="2">
                  <c:v>6882</c:v>
                </c:pt>
                <c:pt idx="3">
                  <c:v>6882</c:v>
                </c:pt>
                <c:pt idx="4">
                  <c:v>4588</c:v>
                </c:pt>
                <c:pt idx="5">
                  <c:v>4588</c:v>
                </c:pt>
                <c:pt idx="6">
                  <c:v>4588</c:v>
                </c:pt>
                <c:pt idx="7">
                  <c:v>4588</c:v>
                </c:pt>
                <c:pt idx="8">
                  <c:v>4588</c:v>
                </c:pt>
                <c:pt idx="9">
                  <c:v>4588</c:v>
                </c:pt>
              </c:numCache>
            </c:numRef>
          </c:val>
          <c:extLst>
            <c:ext xmlns:c16="http://schemas.microsoft.com/office/drawing/2014/chart" uri="{C3380CC4-5D6E-409C-BE32-E72D297353CC}">
              <c16:uniqueId val="{00000006-F0DD-4D54-A988-F5E7E318FB2A}"/>
            </c:ext>
          </c:extLst>
        </c:ser>
        <c:ser>
          <c:idx val="7"/>
          <c:order val="7"/>
          <c:tx>
            <c:strRef>
              <c:f>SR_demand_forecast!$B$136</c:f>
              <c:strCache>
                <c:ptCount val="1"/>
                <c:pt idx="0">
                  <c:v>Terrestrial &amp; Aerial</c:v>
                </c:pt>
              </c:strCache>
            </c:strRef>
          </c:tx>
          <c:spPr>
            <a:solidFill>
              <a:schemeClr val="accent2">
                <a:lumMod val="60000"/>
              </a:schemeClr>
            </a:solidFill>
            <a:ln w="25400">
              <a:noFill/>
            </a:ln>
            <a:effectLst/>
          </c:spPr>
          <c:cat>
            <c:numRef>
              <c:f>SR_demand_forecast!$C$128:$L$128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SR_demand_forecast!$C$136:$L$136</c:f>
              <c:numCache>
                <c:formatCode>_(* #,##0_);_(* \(#,##0\);_(* "-"??_);_(@_)</c:formatCode>
                <c:ptCount val="10"/>
                <c:pt idx="0">
                  <c:v>91096.2</c:v>
                </c:pt>
                <c:pt idx="1">
                  <c:v>81244.314666666673</c:v>
                </c:pt>
                <c:pt idx="2">
                  <c:v>70988.906906666671</c:v>
                </c:pt>
                <c:pt idx="3">
                  <c:v>60317.776577066674</c:v>
                </c:pt>
                <c:pt idx="4">
                  <c:v>49218.39693818667</c:v>
                </c:pt>
                <c:pt idx="5">
                  <c:v>41189.523382553176</c:v>
                </c:pt>
                <c:pt idx="6">
                  <c:v>29939.736408231212</c:v>
                </c:pt>
                <c:pt idx="7">
                  <c:v>18236.977878916696</c:v>
                </c:pt>
                <c:pt idx="8">
                  <c:v>6067.6288471996377</c:v>
                </c:pt>
                <c:pt idx="9">
                  <c:v>-6582.2932036043348</c:v>
                </c:pt>
              </c:numCache>
            </c:numRef>
          </c:val>
          <c:extLst>
            <c:ext xmlns:c16="http://schemas.microsoft.com/office/drawing/2014/chart" uri="{C3380CC4-5D6E-409C-BE32-E72D297353CC}">
              <c16:uniqueId val="{00000007-F0DD-4D54-A988-F5E7E318FB2A}"/>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Minutes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SR Demand Forecast by Use Case (High)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5048881531606909"/>
          <c:y val="0.10605799289048519"/>
          <c:w val="0.81755463596923572"/>
          <c:h val="0.60682971253468532"/>
        </c:manualLayout>
      </c:layout>
      <c:areaChart>
        <c:grouping val="stacked"/>
        <c:varyColors val="0"/>
        <c:ser>
          <c:idx val="0"/>
          <c:order val="0"/>
          <c:tx>
            <c:strRef>
              <c:f>SR_demand_forecast!$B$202</c:f>
              <c:strCache>
                <c:ptCount val="1"/>
                <c:pt idx="0">
                  <c:v>Human Space Flight</c:v>
                </c:pt>
              </c:strCache>
            </c:strRef>
          </c:tx>
          <c:spPr>
            <a:solidFill>
              <a:schemeClr val="accent1"/>
            </a:solidFill>
            <a:ln>
              <a:noFill/>
            </a:ln>
            <a:effectLst/>
          </c:spPr>
          <c:cat>
            <c:numRef>
              <c:f>SR_demand_forecast!$C$201:$L$201</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SR_demand_forecast!$C$202:$L$202</c:f>
              <c:numCache>
                <c:formatCode>_(* #,##0_);_(* \(#,##0\);_(* "-"??_);_(@_)</c:formatCode>
                <c:ptCount val="10"/>
                <c:pt idx="0">
                  <c:v>402076.5</c:v>
                </c:pt>
                <c:pt idx="1">
                  <c:v>342339.42</c:v>
                </c:pt>
                <c:pt idx="2">
                  <c:v>280235.83259999997</c:v>
                </c:pt>
                <c:pt idx="3">
                  <c:v>215694.97233600001</c:v>
                </c:pt>
                <c:pt idx="4">
                  <c:v>148644.18972840003</c:v>
                </c:pt>
                <c:pt idx="5">
                  <c:v>79008.904227561608</c:v>
                </c:pt>
                <c:pt idx="6">
                  <c:v>6712.556030798296</c:v>
                </c:pt>
                <c:pt idx="7">
                  <c:v>-68323.443255526479</c:v>
                </c:pt>
                <c:pt idx="8">
                  <c:v>-146179.76113571669</c:v>
                </c:pt>
                <c:pt idx="9">
                  <c:v>-226939.19595381222</c:v>
                </c:pt>
              </c:numCache>
            </c:numRef>
          </c:val>
          <c:extLst>
            <c:ext xmlns:c16="http://schemas.microsoft.com/office/drawing/2014/chart" uri="{C3380CC4-5D6E-409C-BE32-E72D297353CC}">
              <c16:uniqueId val="{00000000-6A1B-43B0-AF7B-454660B689E0}"/>
            </c:ext>
          </c:extLst>
        </c:ser>
        <c:ser>
          <c:idx val="1"/>
          <c:order val="1"/>
          <c:tx>
            <c:strRef>
              <c:f>SR_demand_forecast!$B$203</c:f>
              <c:strCache>
                <c:ptCount val="1"/>
                <c:pt idx="0">
                  <c:v>Near Earth Robotic - LEO Science</c:v>
                </c:pt>
              </c:strCache>
            </c:strRef>
          </c:tx>
          <c:spPr>
            <a:solidFill>
              <a:schemeClr val="accent2"/>
            </a:solidFill>
            <a:ln>
              <a:noFill/>
            </a:ln>
            <a:effectLst/>
          </c:spPr>
          <c:cat>
            <c:numRef>
              <c:f>SR_demand_forecast!$C$201:$L$201</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SR_demand_forecast!$C$203:$L$203</c:f>
              <c:numCache>
                <c:formatCode>_(* #,##0_);_(* \(#,##0\);_(* "-"??_);_(@_)</c:formatCode>
                <c:ptCount val="10"/>
                <c:pt idx="0">
                  <c:v>1100945.5555555555</c:v>
                </c:pt>
                <c:pt idx="1">
                  <c:v>1036913.1822222222</c:v>
                </c:pt>
                <c:pt idx="2">
                  <c:v>1109029.6426888888</c:v>
                </c:pt>
                <c:pt idx="3">
                  <c:v>1121358.5425711111</c:v>
                </c:pt>
                <c:pt idx="4">
                  <c:v>1177892.6681427201</c:v>
                </c:pt>
                <c:pt idx="5">
                  <c:v>1210271.1416534982</c:v>
                </c:pt>
                <c:pt idx="6">
                  <c:v>1251717.7651041171</c:v>
                </c:pt>
                <c:pt idx="7">
                  <c:v>1292584.880781688</c:v>
                </c:pt>
                <c:pt idx="8">
                  <c:v>1317102.5706195442</c:v>
                </c:pt>
                <c:pt idx="9">
                  <c:v>1342110.6142541573</c:v>
                </c:pt>
              </c:numCache>
            </c:numRef>
          </c:val>
          <c:extLst>
            <c:ext xmlns:c16="http://schemas.microsoft.com/office/drawing/2014/chart" uri="{C3380CC4-5D6E-409C-BE32-E72D297353CC}">
              <c16:uniqueId val="{00000001-6A1B-43B0-AF7B-454660B689E0}"/>
            </c:ext>
          </c:extLst>
        </c:ser>
        <c:ser>
          <c:idx val="2"/>
          <c:order val="2"/>
          <c:tx>
            <c:strRef>
              <c:f>SR_demand_forecast!$B$204</c:f>
              <c:strCache>
                <c:ptCount val="1"/>
                <c:pt idx="0">
                  <c:v>Near Earth Robotic - GEO and Near Earth</c:v>
                </c:pt>
              </c:strCache>
            </c:strRef>
          </c:tx>
          <c:spPr>
            <a:solidFill>
              <a:schemeClr val="accent3"/>
            </a:solidFill>
            <a:ln>
              <a:noFill/>
            </a:ln>
            <a:effectLst/>
          </c:spPr>
          <c:cat>
            <c:numRef>
              <c:f>SR_demand_forecast!$C$201:$L$201</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SR_demand_forecast!$C$204:$L$204</c:f>
              <c:numCache>
                <c:formatCode>_(* #,##0_);_(* \(#,##0\);_(* "-"??_);_(@_)</c:formatCode>
                <c:ptCount val="10"/>
                <c:pt idx="0">
                  <c:v>7092.8571428571431</c:v>
                </c:pt>
                <c:pt idx="1">
                  <c:v>7092.8571428571431</c:v>
                </c:pt>
                <c:pt idx="2">
                  <c:v>9839.2114285714288</c:v>
                </c:pt>
                <c:pt idx="3">
                  <c:v>10035.995657142856</c:v>
                </c:pt>
                <c:pt idx="4">
                  <c:v>10236.715570285714</c:v>
                </c:pt>
                <c:pt idx="5">
                  <c:v>10441.449881691429</c:v>
                </c:pt>
                <c:pt idx="6">
                  <c:v>10650.278879325257</c:v>
                </c:pt>
                <c:pt idx="7">
                  <c:v>10863.284456911761</c:v>
                </c:pt>
                <c:pt idx="8">
                  <c:v>11080.550146049996</c:v>
                </c:pt>
                <c:pt idx="9">
                  <c:v>11302.161148970996</c:v>
                </c:pt>
              </c:numCache>
            </c:numRef>
          </c:val>
          <c:extLst>
            <c:ext xmlns:c16="http://schemas.microsoft.com/office/drawing/2014/chart" uri="{C3380CC4-5D6E-409C-BE32-E72D297353CC}">
              <c16:uniqueId val="{00000002-6A1B-43B0-AF7B-454660B689E0}"/>
            </c:ext>
          </c:extLst>
        </c:ser>
        <c:ser>
          <c:idx val="3"/>
          <c:order val="3"/>
          <c:tx>
            <c:strRef>
              <c:f>SR_demand_forecast!$B$205</c:f>
              <c:strCache>
                <c:ptCount val="1"/>
                <c:pt idx="0">
                  <c:v>Deep Space Robotic</c:v>
                </c:pt>
              </c:strCache>
            </c:strRef>
          </c:tx>
          <c:spPr>
            <a:solidFill>
              <a:schemeClr val="accent4"/>
            </a:solidFill>
            <a:ln w="25400">
              <a:noFill/>
            </a:ln>
            <a:effectLst/>
          </c:spPr>
          <c:cat>
            <c:numRef>
              <c:f>SR_demand_forecast!$C$201:$L$201</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SR_demand_forecast!$C$205:$L$205</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6A1B-43B0-AF7B-454660B689E0}"/>
            </c:ext>
          </c:extLst>
        </c:ser>
        <c:ser>
          <c:idx val="4"/>
          <c:order val="4"/>
          <c:tx>
            <c:strRef>
              <c:f>SR_demand_forecast!$B$206</c:f>
              <c:strCache>
                <c:ptCount val="1"/>
                <c:pt idx="0">
                  <c:v>Near Earth Robotic - Low Latency &amp; Complex Needs</c:v>
                </c:pt>
              </c:strCache>
            </c:strRef>
          </c:tx>
          <c:spPr>
            <a:solidFill>
              <a:schemeClr val="accent5"/>
            </a:solidFill>
            <a:ln w="25400">
              <a:noFill/>
            </a:ln>
            <a:effectLst/>
          </c:spPr>
          <c:cat>
            <c:numRef>
              <c:f>SR_demand_forecast!$C$201:$L$201</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SR_demand_forecast!$C$206:$L$206</c:f>
              <c:numCache>
                <c:formatCode>_(* #,##0_);_(* \(#,##0\);_(* "-"??_);_(@_)</c:formatCode>
                <c:ptCount val="10"/>
                <c:pt idx="0">
                  <c:v>414.45</c:v>
                </c:pt>
                <c:pt idx="1">
                  <c:v>366.55799999999999</c:v>
                </c:pt>
                <c:pt idx="2">
                  <c:v>316.76873999999998</c:v>
                </c:pt>
                <c:pt idx="3">
                  <c:v>265.02548639999998</c:v>
                </c:pt>
                <c:pt idx="4">
                  <c:v>249.23000483999999</c:v>
                </c:pt>
                <c:pt idx="5">
                  <c:v>203.37168394944001</c:v>
                </c:pt>
                <c:pt idx="6">
                  <c:v>155.57933822132165</c:v>
                </c:pt>
                <c:pt idx="7">
                  <c:v>105.79394999049872</c:v>
                </c:pt>
                <c:pt idx="8">
                  <c:v>53.954914495154377</c:v>
                </c:pt>
                <c:pt idx="9">
                  <c:v>0</c:v>
                </c:pt>
              </c:numCache>
            </c:numRef>
          </c:val>
          <c:extLst>
            <c:ext xmlns:c16="http://schemas.microsoft.com/office/drawing/2014/chart" uri="{C3380CC4-5D6E-409C-BE32-E72D297353CC}">
              <c16:uniqueId val="{00000004-6A1B-43B0-AF7B-454660B689E0}"/>
            </c:ext>
          </c:extLst>
        </c:ser>
        <c:ser>
          <c:idx val="5"/>
          <c:order val="5"/>
          <c:tx>
            <c:strRef>
              <c:f>SR_demand_forecast!$B$207</c:f>
              <c:strCache>
                <c:ptCount val="1"/>
                <c:pt idx="0">
                  <c:v>Mission Operations</c:v>
                </c:pt>
              </c:strCache>
            </c:strRef>
          </c:tx>
          <c:spPr>
            <a:solidFill>
              <a:schemeClr val="accent6"/>
            </a:solidFill>
            <a:ln w="25400">
              <a:noFill/>
            </a:ln>
            <a:effectLst/>
          </c:spPr>
          <c:cat>
            <c:numRef>
              <c:f>SR_demand_forecast!$C$201:$L$201</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SR_demand_forecast!$C$207:$L$207</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6A1B-43B0-AF7B-454660B689E0}"/>
            </c:ext>
          </c:extLst>
        </c:ser>
        <c:ser>
          <c:idx val="6"/>
          <c:order val="6"/>
          <c:tx>
            <c:strRef>
              <c:f>SR_demand_forecast!$B$208</c:f>
              <c:strCache>
                <c:ptCount val="1"/>
                <c:pt idx="0">
                  <c:v>Launch Events</c:v>
                </c:pt>
              </c:strCache>
            </c:strRef>
          </c:tx>
          <c:spPr>
            <a:solidFill>
              <a:schemeClr val="accent1">
                <a:lumMod val="60000"/>
              </a:schemeClr>
            </a:solidFill>
            <a:ln w="25400">
              <a:noFill/>
            </a:ln>
            <a:effectLst/>
          </c:spPr>
          <c:cat>
            <c:numRef>
              <c:f>SR_demand_forecast!$C$201:$L$201</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SR_demand_forecast!$C$208:$L$208</c:f>
              <c:numCache>
                <c:formatCode>_(* #,##0_);_(* \(#,##0\);_(* "-"??_);_(@_)</c:formatCode>
                <c:ptCount val="10"/>
                <c:pt idx="0">
                  <c:v>6882</c:v>
                </c:pt>
                <c:pt idx="1">
                  <c:v>6882</c:v>
                </c:pt>
                <c:pt idx="2">
                  <c:v>6882</c:v>
                </c:pt>
                <c:pt idx="3">
                  <c:v>6882</c:v>
                </c:pt>
                <c:pt idx="4">
                  <c:v>4588</c:v>
                </c:pt>
                <c:pt idx="5">
                  <c:v>4588</c:v>
                </c:pt>
                <c:pt idx="6">
                  <c:v>4588</c:v>
                </c:pt>
                <c:pt idx="7">
                  <c:v>4588</c:v>
                </c:pt>
                <c:pt idx="8">
                  <c:v>4588</c:v>
                </c:pt>
                <c:pt idx="9">
                  <c:v>4588</c:v>
                </c:pt>
              </c:numCache>
            </c:numRef>
          </c:val>
          <c:extLst>
            <c:ext xmlns:c16="http://schemas.microsoft.com/office/drawing/2014/chart" uri="{C3380CC4-5D6E-409C-BE32-E72D297353CC}">
              <c16:uniqueId val="{00000006-6A1B-43B0-AF7B-454660B689E0}"/>
            </c:ext>
          </c:extLst>
        </c:ser>
        <c:ser>
          <c:idx val="7"/>
          <c:order val="7"/>
          <c:tx>
            <c:strRef>
              <c:f>SR_demand_forecast!$B$209</c:f>
              <c:strCache>
                <c:ptCount val="1"/>
                <c:pt idx="0">
                  <c:v>Terrestrial &amp; Aerial</c:v>
                </c:pt>
              </c:strCache>
            </c:strRef>
          </c:tx>
          <c:spPr>
            <a:solidFill>
              <a:schemeClr val="accent2">
                <a:lumMod val="60000"/>
              </a:schemeClr>
            </a:solidFill>
            <a:ln w="25400">
              <a:noFill/>
            </a:ln>
            <a:effectLst/>
          </c:spPr>
          <c:cat>
            <c:numRef>
              <c:f>SR_demand_forecast!$C$201:$L$201</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SR_demand_forecast!$C$209:$L$209</c:f>
              <c:numCache>
                <c:formatCode>_(* #,##0_);_(* \(#,##0\);_(* "-"??_);_(@_)</c:formatCode>
                <c:ptCount val="10"/>
                <c:pt idx="0">
                  <c:v>91096.2</c:v>
                </c:pt>
                <c:pt idx="1">
                  <c:v>81244.314666666673</c:v>
                </c:pt>
                <c:pt idx="2">
                  <c:v>70988.906906666671</c:v>
                </c:pt>
                <c:pt idx="3">
                  <c:v>60317.776577066674</c:v>
                </c:pt>
                <c:pt idx="4">
                  <c:v>49218.39693818667</c:v>
                </c:pt>
                <c:pt idx="5">
                  <c:v>41189.523382553176</c:v>
                </c:pt>
                <c:pt idx="6">
                  <c:v>29939.736408231212</c:v>
                </c:pt>
                <c:pt idx="7">
                  <c:v>18236.977878916696</c:v>
                </c:pt>
                <c:pt idx="8">
                  <c:v>6067.6288471996377</c:v>
                </c:pt>
                <c:pt idx="9">
                  <c:v>-6582.2932036043348</c:v>
                </c:pt>
              </c:numCache>
            </c:numRef>
          </c:val>
          <c:extLst>
            <c:ext xmlns:c16="http://schemas.microsoft.com/office/drawing/2014/chart" uri="{C3380CC4-5D6E-409C-BE32-E72D297353CC}">
              <c16:uniqueId val="{00000007-6A1B-43B0-AF7B-454660B689E0}"/>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Minutes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DTE Demand Forecast by Replacement Rate </a:t>
            </a:r>
            <a:r>
              <a:rPr lang="en-US"/>
              <a:t>(Low)</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5781468523627276"/>
          <c:y val="0.12372709847445362"/>
          <c:w val="0.79973806443103357"/>
          <c:h val="0.62291329765118042"/>
        </c:manualLayout>
      </c:layout>
      <c:areaChart>
        <c:grouping val="stacked"/>
        <c:varyColors val="0"/>
        <c:ser>
          <c:idx val="0"/>
          <c:order val="0"/>
          <c:tx>
            <c:strRef>
              <c:f>DTE_demand_forecast!$B$75</c:f>
              <c:strCache>
                <c:ptCount val="1"/>
                <c:pt idx="0">
                  <c:v>Existing</c:v>
                </c:pt>
              </c:strCache>
            </c:strRef>
          </c:tx>
          <c:spPr>
            <a:solidFill>
              <a:schemeClr val="accent1"/>
            </a:solidFill>
            <a:ln>
              <a:noFill/>
            </a:ln>
            <a:effectLst/>
          </c:spPr>
          <c:cat>
            <c:numRef>
              <c:f>DTE_demand_forecast!$C$74:$L$74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DTE_demand_forecast!$C$75:$L$75</c:f>
              <c:numCache>
                <c:formatCode>0.00</c:formatCode>
                <c:ptCount val="10"/>
                <c:pt idx="0">
                  <c:v>1752490.7143116661</c:v>
                </c:pt>
                <c:pt idx="1">
                  <c:v>1484345.8994103172</c:v>
                </c:pt>
                <c:pt idx="2">
                  <c:v>1340904.3555357142</c:v>
                </c:pt>
                <c:pt idx="3">
                  <c:v>1077474.1436682539</c:v>
                </c:pt>
                <c:pt idx="4">
                  <c:v>1075186.4077471427</c:v>
                </c:pt>
                <c:pt idx="5">
                  <c:v>936868.51792507921</c:v>
                </c:pt>
                <c:pt idx="6">
                  <c:v>801695.03898690466</c:v>
                </c:pt>
                <c:pt idx="7">
                  <c:v>797898.18758468248</c:v>
                </c:pt>
                <c:pt idx="8">
                  <c:v>797898.18758468248</c:v>
                </c:pt>
                <c:pt idx="9">
                  <c:v>797898.18758468248</c:v>
                </c:pt>
              </c:numCache>
            </c:numRef>
          </c:val>
          <c:extLst>
            <c:ext xmlns:c16="http://schemas.microsoft.com/office/drawing/2014/chart" uri="{C3380CC4-5D6E-409C-BE32-E72D297353CC}">
              <c16:uniqueId val="{00000000-E034-4B15-826E-CE5AEB312A10}"/>
            </c:ext>
          </c:extLst>
        </c:ser>
        <c:ser>
          <c:idx val="1"/>
          <c:order val="1"/>
          <c:tx>
            <c:strRef>
              <c:f>DTE_demand_forecast!$B$76</c:f>
              <c:strCache>
                <c:ptCount val="1"/>
                <c:pt idx="0">
                  <c:v>Replacement</c:v>
                </c:pt>
              </c:strCache>
            </c:strRef>
          </c:tx>
          <c:spPr>
            <a:solidFill>
              <a:schemeClr val="accent2"/>
            </a:solidFill>
            <a:ln>
              <a:noFill/>
            </a:ln>
            <a:effectLst/>
          </c:spPr>
          <c:cat>
            <c:numRef>
              <c:f>DTE_demand_forecast!$C$74:$L$74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DTE_demand_forecast!$C$76:$L$76</c:f>
              <c:numCache>
                <c:formatCode>0</c:formatCode>
                <c:ptCount val="10"/>
                <c:pt idx="0">
                  <c:v>-120773.43581276984</c:v>
                </c:pt>
                <c:pt idx="1">
                  <c:v>-103056.35294901711</c:v>
                </c:pt>
                <c:pt idx="2">
                  <c:v>-202649.63912012146</c:v>
                </c:pt>
                <c:pt idx="3">
                  <c:v>-267523.75892871543</c:v>
                </c:pt>
                <c:pt idx="4">
                  <c:v>-317151.5224364695</c:v>
                </c:pt>
                <c:pt idx="5">
                  <c:v>-269893.12185293261</c:v>
                </c:pt>
                <c:pt idx="6">
                  <c:v>-321357.07506766991</c:v>
                </c:pt>
                <c:pt idx="7">
                  <c:v>-405373.87990585214</c:v>
                </c:pt>
                <c:pt idx="8">
                  <c:v>-555051.40562447184</c:v>
                </c:pt>
                <c:pt idx="9">
                  <c:v>-710553.88281987421</c:v>
                </c:pt>
              </c:numCache>
            </c:numRef>
          </c:val>
          <c:extLst>
            <c:ext xmlns:c16="http://schemas.microsoft.com/office/drawing/2014/chart" uri="{C3380CC4-5D6E-409C-BE32-E72D297353CC}">
              <c16:uniqueId val="{00000001-E034-4B15-826E-CE5AEB312A10}"/>
            </c:ext>
          </c:extLst>
        </c:ser>
        <c:dLbls>
          <c:showLegendKey val="0"/>
          <c:showVal val="0"/>
          <c:showCatName val="0"/>
          <c:showSerName val="0"/>
          <c:showPercent val="0"/>
          <c:showBubbleSize val="0"/>
        </c:dLbls>
        <c:axId val="1043470975"/>
        <c:axId val="1043473471"/>
      </c:areaChart>
      <c:catAx>
        <c:axId val="104347097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473471"/>
        <c:crosses val="autoZero"/>
        <c:auto val="1"/>
        <c:lblAlgn val="ctr"/>
        <c:lblOffset val="100"/>
        <c:noMultiLvlLbl val="0"/>
      </c:catAx>
      <c:valAx>
        <c:axId val="104347347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Minutes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470975"/>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DTE Demand Forecast by Replacement Rate </a:t>
            </a:r>
            <a:r>
              <a:rPr lang="en-US"/>
              <a:t>(Baseline)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674349368027282"/>
          <c:y val="0.12089611978586276"/>
          <c:w val="0.79011781286457805"/>
          <c:h val="0.62574445440032023"/>
        </c:manualLayout>
      </c:layout>
      <c:areaChart>
        <c:grouping val="stacked"/>
        <c:varyColors val="0"/>
        <c:ser>
          <c:idx val="0"/>
          <c:order val="0"/>
          <c:tx>
            <c:strRef>
              <c:f>DTE_demand_forecast!$B$154</c:f>
              <c:strCache>
                <c:ptCount val="1"/>
                <c:pt idx="0">
                  <c:v>Existing</c:v>
                </c:pt>
              </c:strCache>
            </c:strRef>
          </c:tx>
          <c:spPr>
            <a:solidFill>
              <a:schemeClr val="accent1"/>
            </a:solidFill>
            <a:ln>
              <a:noFill/>
            </a:ln>
            <a:effectLst/>
          </c:spPr>
          <c:cat>
            <c:numRef>
              <c:f>DTE_demand_forecast!$C$153:$L$153</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DTE_demand_forecast!$C$154:$L$154</c:f>
              <c:numCache>
                <c:formatCode>0.00</c:formatCode>
                <c:ptCount val="10"/>
                <c:pt idx="0">
                  <c:v>1752490.7143116661</c:v>
                </c:pt>
                <c:pt idx="1">
                  <c:v>1484345.8994103172</c:v>
                </c:pt>
                <c:pt idx="2">
                  <c:v>1340904.3555357142</c:v>
                </c:pt>
                <c:pt idx="3">
                  <c:v>1077474.1436682539</c:v>
                </c:pt>
                <c:pt idx="4">
                  <c:v>1075186.4077471427</c:v>
                </c:pt>
                <c:pt idx="5">
                  <c:v>936868.51792507921</c:v>
                </c:pt>
                <c:pt idx="6">
                  <c:v>801695.03898690466</c:v>
                </c:pt>
                <c:pt idx="7">
                  <c:v>797898.18758468248</c:v>
                </c:pt>
                <c:pt idx="8">
                  <c:v>797898.18758468248</c:v>
                </c:pt>
                <c:pt idx="9">
                  <c:v>797898.18758468248</c:v>
                </c:pt>
              </c:numCache>
            </c:numRef>
          </c:val>
          <c:extLst>
            <c:ext xmlns:c16="http://schemas.microsoft.com/office/drawing/2014/chart" uri="{C3380CC4-5D6E-409C-BE32-E72D297353CC}">
              <c16:uniqueId val="{00000000-AE0A-4EC2-8C5A-0732738705C7}"/>
            </c:ext>
          </c:extLst>
        </c:ser>
        <c:ser>
          <c:idx val="1"/>
          <c:order val="1"/>
          <c:tx>
            <c:strRef>
              <c:f>DTE_demand_forecast!$B$155</c:f>
              <c:strCache>
                <c:ptCount val="1"/>
                <c:pt idx="0">
                  <c:v>Replacement</c:v>
                </c:pt>
              </c:strCache>
            </c:strRef>
          </c:tx>
          <c:spPr>
            <a:solidFill>
              <a:schemeClr val="accent2"/>
            </a:solidFill>
            <a:ln>
              <a:noFill/>
            </a:ln>
            <a:effectLst/>
          </c:spPr>
          <c:cat>
            <c:numRef>
              <c:f>DTE_demand_forecast!$C$153:$L$153</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DTE_demand_forecast!$C$155:$L$155</c:f>
              <c:numCache>
                <c:formatCode>0</c:formatCode>
                <c:ptCount val="10"/>
                <c:pt idx="0">
                  <c:v>-115482.04037610318</c:v>
                </c:pt>
                <c:pt idx="1">
                  <c:v>-92802.961097750464</c:v>
                </c:pt>
                <c:pt idx="2">
                  <c:v>-189061.13908251349</c:v>
                </c:pt>
                <c:pt idx="3">
                  <c:v>-244906.35942824476</c:v>
                </c:pt>
                <c:pt idx="4">
                  <c:v>-288314.33807336941</c:v>
                </c:pt>
                <c:pt idx="5">
                  <c:v>-234596.40819249806</c:v>
                </c:pt>
                <c:pt idx="6">
                  <c:v>-279353.98581175285</c:v>
                </c:pt>
                <c:pt idx="7">
                  <c:v>-356410.27871609735</c:v>
                </c:pt>
                <c:pt idx="8">
                  <c:v>-498865.67325922835</c:v>
                </c:pt>
                <c:pt idx="9">
                  <c:v>-646876.71947259805</c:v>
                </c:pt>
              </c:numCache>
            </c:numRef>
          </c:val>
          <c:extLst>
            <c:ext xmlns:c16="http://schemas.microsoft.com/office/drawing/2014/chart" uri="{C3380CC4-5D6E-409C-BE32-E72D297353CC}">
              <c16:uniqueId val="{00000001-AE0A-4EC2-8C5A-0732738705C7}"/>
            </c:ext>
          </c:extLst>
        </c:ser>
        <c:dLbls>
          <c:showLegendKey val="0"/>
          <c:showVal val="0"/>
          <c:showCatName val="0"/>
          <c:showSerName val="0"/>
          <c:showPercent val="0"/>
          <c:showBubbleSize val="0"/>
        </c:dLbls>
        <c:axId val="1043470975"/>
        <c:axId val="1043473471"/>
      </c:areaChart>
      <c:catAx>
        <c:axId val="104347097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473471"/>
        <c:crosses val="autoZero"/>
        <c:auto val="1"/>
        <c:lblAlgn val="ctr"/>
        <c:lblOffset val="100"/>
        <c:noMultiLvlLbl val="0"/>
      </c:catAx>
      <c:valAx>
        <c:axId val="104347347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Minutes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470975"/>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DTE Demand Forecast by Replacement Rate </a:t>
            </a:r>
            <a:r>
              <a:rPr lang="en-US"/>
              <a:t>(High)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674349368027282"/>
          <c:y val="0.12915812437152976"/>
          <c:w val="0.79011781286457805"/>
          <c:h val="0.62664906682076871"/>
        </c:manualLayout>
      </c:layout>
      <c:areaChart>
        <c:grouping val="stacked"/>
        <c:varyColors val="0"/>
        <c:ser>
          <c:idx val="0"/>
          <c:order val="0"/>
          <c:tx>
            <c:strRef>
              <c:f>DTE_demand_forecast!$B$233</c:f>
              <c:strCache>
                <c:ptCount val="1"/>
                <c:pt idx="0">
                  <c:v>Existing</c:v>
                </c:pt>
              </c:strCache>
            </c:strRef>
          </c:tx>
          <c:spPr>
            <a:solidFill>
              <a:schemeClr val="accent1"/>
            </a:solidFill>
            <a:ln>
              <a:noFill/>
            </a:ln>
            <a:effectLst/>
          </c:spPr>
          <c:cat>
            <c:numRef>
              <c:f>DTE_demand_forecast!$C$232:$L$232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DTE_demand_forecast!$C$233:$L$233</c:f>
              <c:numCache>
                <c:formatCode>0.00</c:formatCode>
                <c:ptCount val="10"/>
                <c:pt idx="0">
                  <c:v>1752490.7143116661</c:v>
                </c:pt>
                <c:pt idx="1">
                  <c:v>1484345.8994103172</c:v>
                </c:pt>
                <c:pt idx="2">
                  <c:v>1340904.3555357142</c:v>
                </c:pt>
                <c:pt idx="3">
                  <c:v>1077474.1436682539</c:v>
                </c:pt>
                <c:pt idx="4">
                  <c:v>1075186.4077471427</c:v>
                </c:pt>
                <c:pt idx="5">
                  <c:v>936868.51792507921</c:v>
                </c:pt>
                <c:pt idx="6">
                  <c:v>801695.03898690466</c:v>
                </c:pt>
                <c:pt idx="7">
                  <c:v>797898.18758468248</c:v>
                </c:pt>
                <c:pt idx="8">
                  <c:v>797898.18758468248</c:v>
                </c:pt>
                <c:pt idx="9">
                  <c:v>797898.18758468248</c:v>
                </c:pt>
              </c:numCache>
            </c:numRef>
          </c:val>
          <c:extLst>
            <c:ext xmlns:c16="http://schemas.microsoft.com/office/drawing/2014/chart" uri="{C3380CC4-5D6E-409C-BE32-E72D297353CC}">
              <c16:uniqueId val="{00000000-5ACF-43DD-9197-92DBA9E715B1}"/>
            </c:ext>
          </c:extLst>
        </c:ser>
        <c:ser>
          <c:idx val="1"/>
          <c:order val="1"/>
          <c:tx>
            <c:strRef>
              <c:f>DTE_demand_forecast!$B$234</c:f>
              <c:strCache>
                <c:ptCount val="1"/>
                <c:pt idx="0">
                  <c:v>Replacement</c:v>
                </c:pt>
              </c:strCache>
            </c:strRef>
          </c:tx>
          <c:spPr>
            <a:solidFill>
              <a:schemeClr val="accent2"/>
            </a:solidFill>
            <a:ln>
              <a:noFill/>
            </a:ln>
            <a:effectLst/>
          </c:spPr>
          <c:cat>
            <c:numRef>
              <c:f>DTE_demand_forecast!$C$232:$L$232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DTE_demand_forecast!$C$234:$L$234</c:f>
              <c:numCache>
                <c:formatCode>0</c:formatCode>
                <c:ptCount val="10"/>
                <c:pt idx="0">
                  <c:v>-112622.29924738889</c:v>
                </c:pt>
                <c:pt idx="1">
                  <c:v>-87239.616614939965</c:v>
                </c:pt>
                <c:pt idx="2">
                  <c:v>-181598.81677122845</c:v>
                </c:pt>
                <c:pt idx="3">
                  <c:v>-232689.08136023523</c:v>
                </c:pt>
                <c:pt idx="4">
                  <c:v>-272737.30853665725</c:v>
                </c:pt>
                <c:pt idx="5">
                  <c:v>-215530.12403956242</c:v>
                </c:pt>
                <c:pt idx="6">
                  <c:v>-256665.10766975945</c:v>
                </c:pt>
                <c:pt idx="7">
                  <c:v>-329961.52933914494</c:v>
                </c:pt>
                <c:pt idx="8">
                  <c:v>-468515.73334917554</c:v>
                </c:pt>
                <c:pt idx="9">
                  <c:v>-612480.12090787152</c:v>
                </c:pt>
              </c:numCache>
            </c:numRef>
          </c:val>
          <c:extLst>
            <c:ext xmlns:c16="http://schemas.microsoft.com/office/drawing/2014/chart" uri="{C3380CC4-5D6E-409C-BE32-E72D297353CC}">
              <c16:uniqueId val="{00000001-5ACF-43DD-9197-92DBA9E715B1}"/>
            </c:ext>
          </c:extLst>
        </c:ser>
        <c:dLbls>
          <c:showLegendKey val="0"/>
          <c:showVal val="0"/>
          <c:showCatName val="0"/>
          <c:showSerName val="0"/>
          <c:showPercent val="0"/>
          <c:showBubbleSize val="0"/>
        </c:dLbls>
        <c:axId val="1043470975"/>
        <c:axId val="1043473471"/>
      </c:areaChart>
      <c:catAx>
        <c:axId val="104347097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473471"/>
        <c:crosses val="autoZero"/>
        <c:auto val="1"/>
        <c:lblAlgn val="ctr"/>
        <c:lblOffset val="100"/>
        <c:noMultiLvlLbl val="0"/>
      </c:catAx>
      <c:valAx>
        <c:axId val="104347347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Minutes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470975"/>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SR Demand Forecast by Replacement Rate (Low)</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5781468523627276"/>
          <c:y val="0.113607174004283"/>
          <c:w val="0.79973806443103357"/>
          <c:h val="0.63303334152795787"/>
        </c:manualLayout>
      </c:layout>
      <c:areaChart>
        <c:grouping val="stacked"/>
        <c:varyColors val="0"/>
        <c:ser>
          <c:idx val="0"/>
          <c:order val="0"/>
          <c:tx>
            <c:strRef>
              <c:f>SR_demand_forecast!$B$69</c:f>
              <c:strCache>
                <c:ptCount val="1"/>
                <c:pt idx="0">
                  <c:v>Existing</c:v>
                </c:pt>
              </c:strCache>
            </c:strRef>
          </c:tx>
          <c:spPr>
            <a:solidFill>
              <a:schemeClr val="accent1"/>
            </a:solidFill>
            <a:ln>
              <a:noFill/>
            </a:ln>
            <a:effectLst/>
          </c:spPr>
          <c:cat>
            <c:numRef>
              <c:f>SR_demand_forecast!$C$68:$L$68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SR_demand_forecast!$C$69:$L$69</c:f>
              <c:numCache>
                <c:formatCode>_(* #,##0_);_(* \(#,##0\);_(* "-"??_);_(@_)</c:formatCode>
                <c:ptCount val="10"/>
                <c:pt idx="0">
                  <c:v>1676114.912698413</c:v>
                </c:pt>
                <c:pt idx="1">
                  <c:v>1442274.4126984125</c:v>
                </c:pt>
                <c:pt idx="2">
                  <c:v>1435181.5555555555</c:v>
                </c:pt>
                <c:pt idx="3">
                  <c:v>1301780.7777777778</c:v>
                </c:pt>
                <c:pt idx="4">
                  <c:v>1131886.1666666667</c:v>
                </c:pt>
                <c:pt idx="5">
                  <c:v>898045.66666666674</c:v>
                </c:pt>
                <c:pt idx="6">
                  <c:v>697944.49999999988</c:v>
                </c:pt>
                <c:pt idx="7">
                  <c:v>564543.72222222225</c:v>
                </c:pt>
                <c:pt idx="8">
                  <c:v>564543.72222222225</c:v>
                </c:pt>
                <c:pt idx="9">
                  <c:v>564543.72222222225</c:v>
                </c:pt>
              </c:numCache>
            </c:numRef>
          </c:val>
          <c:extLst>
            <c:ext xmlns:c16="http://schemas.microsoft.com/office/drawing/2014/chart" uri="{C3380CC4-5D6E-409C-BE32-E72D297353CC}">
              <c16:uniqueId val="{00000000-DD7A-45B7-A8B5-D2D1A9DDA4EB}"/>
            </c:ext>
          </c:extLst>
        </c:ser>
        <c:ser>
          <c:idx val="1"/>
          <c:order val="1"/>
          <c:tx>
            <c:strRef>
              <c:f>SR_demand_forecast!$B$70</c:f>
              <c:strCache>
                <c:ptCount val="1"/>
                <c:pt idx="0">
                  <c:v>Replacement</c:v>
                </c:pt>
              </c:strCache>
            </c:strRef>
          </c:tx>
          <c:spPr>
            <a:solidFill>
              <a:schemeClr val="accent2"/>
            </a:solidFill>
            <a:ln>
              <a:noFill/>
            </a:ln>
            <a:effectLst/>
          </c:spPr>
          <c:cat>
            <c:numRef>
              <c:f>SR_demand_forecast!$C$68:$L$68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SR_demand_forecast!$C$70:$L$70</c:f>
              <c:numCache>
                <c:formatCode>_(* #,##0_);_(* \(#,##0\);_(* "-"??_);_(@_)</c:formatCode>
                <c:ptCount val="10"/>
                <c:pt idx="0">
                  <c:v>-87853.89523809524</c:v>
                </c:pt>
                <c:pt idx="1">
                  <c:v>-8739.0329523809542</c:v>
                </c:pt>
                <c:pt idx="2">
                  <c:v>-21082.710188571418</c:v>
                </c:pt>
                <c:pt idx="3">
                  <c:v>26830.351733828531</c:v>
                </c:pt>
                <c:pt idx="4">
                  <c:v>149365.47524472009</c:v>
                </c:pt>
                <c:pt idx="5">
                  <c:v>313533.7925915792</c:v>
                </c:pt>
                <c:pt idx="6">
                  <c:v>446213.12719119381</c:v>
                </c:pt>
                <c:pt idx="7">
                  <c:v>507456.44091445592</c:v>
                </c:pt>
                <c:pt idx="8">
                  <c:v>414670.72921944072</c:v>
                </c:pt>
                <c:pt idx="9">
                  <c:v>317970.60648025892</c:v>
                </c:pt>
              </c:numCache>
            </c:numRef>
          </c:val>
          <c:extLst>
            <c:ext xmlns:c16="http://schemas.microsoft.com/office/drawing/2014/chart" uri="{C3380CC4-5D6E-409C-BE32-E72D297353CC}">
              <c16:uniqueId val="{00000001-DD7A-45B7-A8B5-D2D1A9DDA4EB}"/>
            </c:ext>
          </c:extLst>
        </c:ser>
        <c:dLbls>
          <c:showLegendKey val="0"/>
          <c:showVal val="0"/>
          <c:showCatName val="0"/>
          <c:showSerName val="0"/>
          <c:showPercent val="0"/>
          <c:showBubbleSize val="0"/>
        </c:dLbls>
        <c:axId val="1043470975"/>
        <c:axId val="1043473471"/>
      </c:areaChart>
      <c:catAx>
        <c:axId val="104347097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473471"/>
        <c:crosses val="autoZero"/>
        <c:auto val="1"/>
        <c:lblAlgn val="ctr"/>
        <c:lblOffset val="100"/>
        <c:noMultiLvlLbl val="0"/>
      </c:catAx>
      <c:valAx>
        <c:axId val="104347347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Minutes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470975"/>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SR Demand Forecast by Replacement Rate (Baseline)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5781468523627276"/>
          <c:y val="0.12547847415468397"/>
          <c:w val="0.79973806443103357"/>
          <c:h val="0.62116204137755693"/>
        </c:manualLayout>
      </c:layout>
      <c:areaChart>
        <c:grouping val="stacked"/>
        <c:varyColors val="0"/>
        <c:ser>
          <c:idx val="0"/>
          <c:order val="0"/>
          <c:tx>
            <c:strRef>
              <c:f>SR_demand_forecast!$B$142</c:f>
              <c:strCache>
                <c:ptCount val="1"/>
                <c:pt idx="0">
                  <c:v>Existing</c:v>
                </c:pt>
              </c:strCache>
            </c:strRef>
          </c:tx>
          <c:spPr>
            <a:solidFill>
              <a:schemeClr val="accent1"/>
            </a:solidFill>
            <a:ln>
              <a:noFill/>
            </a:ln>
            <a:effectLst/>
          </c:spPr>
          <c:cat>
            <c:numRef>
              <c:f>SR_demand_forecast!$C$141:$L$141</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SR_demand_forecast!$C$142:$L$142</c:f>
              <c:numCache>
                <c:formatCode>_(* #,##0_);_(* \(#,##0\);_(* "-"??_);_(@_)</c:formatCode>
                <c:ptCount val="10"/>
                <c:pt idx="0">
                  <c:v>1676114.912698413</c:v>
                </c:pt>
                <c:pt idx="1">
                  <c:v>1442274.4126984125</c:v>
                </c:pt>
                <c:pt idx="2">
                  <c:v>1435181.5555555555</c:v>
                </c:pt>
                <c:pt idx="3">
                  <c:v>1301780.7777777778</c:v>
                </c:pt>
                <c:pt idx="4">
                  <c:v>1131886.1666666667</c:v>
                </c:pt>
                <c:pt idx="5">
                  <c:v>898045.66666666674</c:v>
                </c:pt>
                <c:pt idx="6">
                  <c:v>697944.49999999988</c:v>
                </c:pt>
                <c:pt idx="7">
                  <c:v>564543.72222222225</c:v>
                </c:pt>
                <c:pt idx="8">
                  <c:v>564543.72222222225</c:v>
                </c:pt>
                <c:pt idx="9">
                  <c:v>564543.72222222225</c:v>
                </c:pt>
              </c:numCache>
            </c:numRef>
          </c:val>
          <c:extLst>
            <c:ext xmlns:c16="http://schemas.microsoft.com/office/drawing/2014/chart" uri="{C3380CC4-5D6E-409C-BE32-E72D297353CC}">
              <c16:uniqueId val="{00000000-183B-4586-B7EE-7105FC46AE4C}"/>
            </c:ext>
          </c:extLst>
        </c:ser>
        <c:ser>
          <c:idx val="1"/>
          <c:order val="1"/>
          <c:tx>
            <c:strRef>
              <c:f>SR_demand_forecast!$B$143</c:f>
              <c:strCache>
                <c:ptCount val="1"/>
                <c:pt idx="0">
                  <c:v>Replacement</c:v>
                </c:pt>
              </c:strCache>
            </c:strRef>
          </c:tx>
          <c:spPr>
            <a:solidFill>
              <a:schemeClr val="accent2"/>
            </a:solidFill>
            <a:ln>
              <a:noFill/>
            </a:ln>
            <a:effectLst/>
          </c:spPr>
          <c:cat>
            <c:numRef>
              <c:f>SR_demand_forecast!$C$141:$L$141</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SR_demand_forecast!$C$143:$L$143</c:f>
              <c:numCache>
                <c:formatCode>_(* #,##0_);_(* \(#,##0\);_(* "-"??_);_(@_)</c:formatCode>
                <c:ptCount val="10"/>
                <c:pt idx="0">
                  <c:v>-74513.81746031747</c:v>
                </c:pt>
                <c:pt idx="1">
                  <c:v>18474.725714285734</c:v>
                </c:pt>
                <c:pt idx="2">
                  <c:v>20554.340571428595</c:v>
                </c:pt>
                <c:pt idx="3">
                  <c:v>83456.740767428579</c:v>
                </c:pt>
                <c:pt idx="4">
                  <c:v>221564.1212625601</c:v>
                </c:pt>
                <c:pt idx="5">
                  <c:v>401904.93531741534</c:v>
                </c:pt>
                <c:pt idx="6">
                  <c:v>551374.78703493881</c:v>
                </c:pt>
                <c:pt idx="7">
                  <c:v>630044.89010373584</c:v>
                </c:pt>
                <c:pt idx="8">
                  <c:v>555340.97466413944</c:v>
                </c:pt>
                <c:pt idx="9">
                  <c:v>477396.88465091732</c:v>
                </c:pt>
              </c:numCache>
            </c:numRef>
          </c:val>
          <c:extLst>
            <c:ext xmlns:c16="http://schemas.microsoft.com/office/drawing/2014/chart" uri="{C3380CC4-5D6E-409C-BE32-E72D297353CC}">
              <c16:uniqueId val="{00000001-183B-4586-B7EE-7105FC46AE4C}"/>
            </c:ext>
          </c:extLst>
        </c:ser>
        <c:dLbls>
          <c:showLegendKey val="0"/>
          <c:showVal val="0"/>
          <c:showCatName val="0"/>
          <c:showSerName val="0"/>
          <c:showPercent val="0"/>
          <c:showBubbleSize val="0"/>
        </c:dLbls>
        <c:axId val="1043470975"/>
        <c:axId val="1043473471"/>
      </c:areaChart>
      <c:catAx>
        <c:axId val="104347097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473471"/>
        <c:crosses val="autoZero"/>
        <c:auto val="1"/>
        <c:lblAlgn val="ctr"/>
        <c:lblOffset val="100"/>
        <c:noMultiLvlLbl val="0"/>
      </c:catAx>
      <c:valAx>
        <c:axId val="104347347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Minutes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470975"/>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SR Demand Forecast by Replacement Rate (High)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5781468523627276"/>
          <c:y val="0.13431850488153407"/>
          <c:w val="0.79973806443103357"/>
          <c:h val="0.61232210446276902"/>
        </c:manualLayout>
      </c:layout>
      <c:areaChart>
        <c:grouping val="stacked"/>
        <c:varyColors val="0"/>
        <c:ser>
          <c:idx val="0"/>
          <c:order val="0"/>
          <c:tx>
            <c:strRef>
              <c:f>SR_demand_forecast!$B$215</c:f>
              <c:strCache>
                <c:ptCount val="1"/>
                <c:pt idx="0">
                  <c:v>Existing</c:v>
                </c:pt>
              </c:strCache>
            </c:strRef>
          </c:tx>
          <c:spPr>
            <a:solidFill>
              <a:schemeClr val="accent1"/>
            </a:solidFill>
            <a:ln>
              <a:noFill/>
            </a:ln>
            <a:effectLst/>
          </c:spPr>
          <c:cat>
            <c:numRef>
              <c:f>SR_demand_forecast!$C$214:$L$214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SR_demand_forecast!$C$215:$L$215</c:f>
              <c:numCache>
                <c:formatCode>_(* #,##0_);_(* \(#,##0\);_(* "-"??_);_(@_)</c:formatCode>
                <c:ptCount val="10"/>
                <c:pt idx="0">
                  <c:v>1676114.912698413</c:v>
                </c:pt>
                <c:pt idx="1">
                  <c:v>1442274.4126984125</c:v>
                </c:pt>
                <c:pt idx="2">
                  <c:v>1435181.5555555555</c:v>
                </c:pt>
                <c:pt idx="3">
                  <c:v>1301780.7777777778</c:v>
                </c:pt>
                <c:pt idx="4">
                  <c:v>1131886.1666666667</c:v>
                </c:pt>
                <c:pt idx="5">
                  <c:v>898045.66666666674</c:v>
                </c:pt>
                <c:pt idx="6">
                  <c:v>697944.49999999988</c:v>
                </c:pt>
                <c:pt idx="7">
                  <c:v>564543.72222222225</c:v>
                </c:pt>
                <c:pt idx="8">
                  <c:v>564543.72222222225</c:v>
                </c:pt>
                <c:pt idx="9">
                  <c:v>564543.72222222225</c:v>
                </c:pt>
              </c:numCache>
            </c:numRef>
          </c:val>
          <c:extLst>
            <c:ext xmlns:c16="http://schemas.microsoft.com/office/drawing/2014/chart" uri="{C3380CC4-5D6E-409C-BE32-E72D297353CC}">
              <c16:uniqueId val="{00000000-F1DE-4561-9B8B-6F64C8E237FD}"/>
            </c:ext>
          </c:extLst>
        </c:ser>
        <c:ser>
          <c:idx val="1"/>
          <c:order val="1"/>
          <c:tx>
            <c:strRef>
              <c:f>SR_demand_forecast!$B$216</c:f>
              <c:strCache>
                <c:ptCount val="1"/>
                <c:pt idx="0">
                  <c:v>Replacement</c:v>
                </c:pt>
              </c:strCache>
            </c:strRef>
          </c:tx>
          <c:spPr>
            <a:solidFill>
              <a:schemeClr val="accent2"/>
            </a:solidFill>
            <a:ln>
              <a:noFill/>
            </a:ln>
            <a:effectLst/>
          </c:spPr>
          <c:cat>
            <c:numRef>
              <c:f>SR_demand_forecast!$C$214:$L$214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SR_demand_forecast!$C$216:$L$216</c:f>
              <c:numCache>
                <c:formatCode>_(* #,##0_);_(* \(#,##0\);_(* "-"??_);_(@_)</c:formatCode>
                <c:ptCount val="10"/>
                <c:pt idx="0">
                  <c:v>-67607.350000000006</c:v>
                </c:pt>
                <c:pt idx="1">
                  <c:v>32563.919333333339</c:v>
                </c:pt>
                <c:pt idx="2">
                  <c:v>42110.806808571433</c:v>
                </c:pt>
                <c:pt idx="3">
                  <c:v>112773.53484994287</c:v>
                </c:pt>
                <c:pt idx="4">
                  <c:v>258943.03371776579</c:v>
                </c:pt>
                <c:pt idx="5">
                  <c:v>447656.72416258708</c:v>
                </c:pt>
                <c:pt idx="6">
                  <c:v>605819.41576069302</c:v>
                </c:pt>
                <c:pt idx="7">
                  <c:v>693511.77158975822</c:v>
                </c:pt>
                <c:pt idx="8">
                  <c:v>628169.22116935009</c:v>
                </c:pt>
                <c:pt idx="9">
                  <c:v>559935.56402348937</c:v>
                </c:pt>
              </c:numCache>
            </c:numRef>
          </c:val>
          <c:extLst>
            <c:ext xmlns:c16="http://schemas.microsoft.com/office/drawing/2014/chart" uri="{C3380CC4-5D6E-409C-BE32-E72D297353CC}">
              <c16:uniqueId val="{00000001-F1DE-4561-9B8B-6F64C8E237FD}"/>
            </c:ext>
          </c:extLst>
        </c:ser>
        <c:dLbls>
          <c:showLegendKey val="0"/>
          <c:showVal val="0"/>
          <c:showCatName val="0"/>
          <c:showSerName val="0"/>
          <c:showPercent val="0"/>
          <c:showBubbleSize val="0"/>
        </c:dLbls>
        <c:axId val="1043470975"/>
        <c:axId val="1043473471"/>
      </c:areaChart>
      <c:catAx>
        <c:axId val="104347097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473471"/>
        <c:crosses val="autoZero"/>
        <c:auto val="1"/>
        <c:lblAlgn val="ctr"/>
        <c:lblOffset val="100"/>
        <c:noMultiLvlLbl val="0"/>
      </c:catAx>
      <c:valAx>
        <c:axId val="104347347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Minutes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470975"/>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a:t>Total cost by use case (Low demand scenario) </a:t>
            </a:r>
            <a:r>
              <a:rPr lang="en-US" sz="1200" b="0" i="0" u="none" strike="noStrike" baseline="0">
                <a:effectLst/>
              </a:rPr>
              <a:t>(20% profit margin)</a:t>
            </a:r>
            <a:endParaRPr lang="en-US" sz="1200"/>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6580466952930259"/>
          <c:y val="0.18126685397946379"/>
          <c:w val="0.80223880721208529"/>
          <c:h val="0.48459830760805012"/>
        </c:manualLayout>
      </c:layout>
      <c:areaChart>
        <c:grouping val="stacked"/>
        <c:varyColors val="0"/>
        <c:ser>
          <c:idx val="0"/>
          <c:order val="0"/>
          <c:tx>
            <c:strRef>
              <c:f>DTE_cost_per_minute_forecast!$B$3</c:f>
              <c:strCache>
                <c:ptCount val="1"/>
                <c:pt idx="0">
                  <c:v>Human Space Flight</c:v>
                </c:pt>
              </c:strCache>
            </c:strRef>
          </c:tx>
          <c:spPr>
            <a:solidFill>
              <a:schemeClr val="accent1"/>
            </a:solidFill>
            <a:ln>
              <a:noFill/>
            </a:ln>
            <a:effectLst/>
          </c:spPr>
          <c:cat>
            <c:numRef>
              <c:f>DTE_cost_per_minute_forecast!$C$2:$L$2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DTE_cost_per_minute_forecast!$C$3:$L$3</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E37B-482F-8EEC-BBD0600E62FD}"/>
            </c:ext>
          </c:extLst>
        </c:ser>
        <c:ser>
          <c:idx val="1"/>
          <c:order val="1"/>
          <c:tx>
            <c:strRef>
              <c:f>DTE_cost_per_minute_forecast!$B$4</c:f>
              <c:strCache>
                <c:ptCount val="1"/>
                <c:pt idx="0">
                  <c:v>Near Earth Robotic - LEO Science</c:v>
                </c:pt>
              </c:strCache>
            </c:strRef>
          </c:tx>
          <c:spPr>
            <a:solidFill>
              <a:schemeClr val="accent2"/>
            </a:solidFill>
            <a:ln>
              <a:noFill/>
            </a:ln>
            <a:effectLst/>
          </c:spPr>
          <c:cat>
            <c:numRef>
              <c:f>DTE_cost_per_minute_forecast!$C$2:$L$2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DTE_cost_per_minute_forecast!$C$4:$L$4</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E37B-482F-8EEC-BBD0600E62FD}"/>
            </c:ext>
          </c:extLst>
        </c:ser>
        <c:ser>
          <c:idx val="2"/>
          <c:order val="2"/>
          <c:tx>
            <c:strRef>
              <c:f>DTE_cost_per_minute_forecast!$B$5</c:f>
              <c:strCache>
                <c:ptCount val="1"/>
                <c:pt idx="0">
                  <c:v>Near Earth Robotic - GEO and Near Earth</c:v>
                </c:pt>
              </c:strCache>
            </c:strRef>
          </c:tx>
          <c:spPr>
            <a:solidFill>
              <a:schemeClr val="accent3"/>
            </a:solidFill>
            <a:ln>
              <a:noFill/>
            </a:ln>
            <a:effectLst/>
          </c:spPr>
          <c:cat>
            <c:numRef>
              <c:f>DTE_cost_per_minute_forecast!$C$2:$L$2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DTE_cost_per_minute_forecast!$C$5:$L$5</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2-E37B-482F-8EEC-BBD0600E62FD}"/>
            </c:ext>
          </c:extLst>
        </c:ser>
        <c:ser>
          <c:idx val="3"/>
          <c:order val="3"/>
          <c:tx>
            <c:strRef>
              <c:f>DTE_cost_per_minute_forecast!$B$6</c:f>
              <c:strCache>
                <c:ptCount val="1"/>
                <c:pt idx="0">
                  <c:v>Deep Space Robotic</c:v>
                </c:pt>
              </c:strCache>
            </c:strRef>
          </c:tx>
          <c:spPr>
            <a:solidFill>
              <a:schemeClr val="accent4"/>
            </a:solidFill>
            <a:ln w="25400">
              <a:noFill/>
            </a:ln>
            <a:effectLst/>
          </c:spPr>
          <c:cat>
            <c:numRef>
              <c:f>DTE_cost_per_minute_forecast!$C$2:$L$2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DTE_cost_per_minute_forecast!$C$6:$L$6</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E37B-482F-8EEC-BBD0600E62FD}"/>
            </c:ext>
          </c:extLst>
        </c:ser>
        <c:ser>
          <c:idx val="4"/>
          <c:order val="4"/>
          <c:tx>
            <c:strRef>
              <c:f>DTE_cost_per_minute_forecast!$B$7</c:f>
              <c:strCache>
                <c:ptCount val="1"/>
                <c:pt idx="0">
                  <c:v>Near Earth Robotic - Low Latency &amp; Complex Needs</c:v>
                </c:pt>
              </c:strCache>
            </c:strRef>
          </c:tx>
          <c:spPr>
            <a:solidFill>
              <a:schemeClr val="accent5"/>
            </a:solidFill>
            <a:ln w="25400">
              <a:noFill/>
            </a:ln>
            <a:effectLst/>
          </c:spPr>
          <c:cat>
            <c:numRef>
              <c:f>DTE_cost_per_minute_forecast!$C$2:$L$2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DTE_cost_per_minute_forecast!$C$7:$L$7</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E37B-482F-8EEC-BBD0600E62FD}"/>
            </c:ext>
          </c:extLst>
        </c:ser>
        <c:ser>
          <c:idx val="5"/>
          <c:order val="5"/>
          <c:tx>
            <c:strRef>
              <c:f>DTE_cost_per_minute_forecast!$B$8</c:f>
              <c:strCache>
                <c:ptCount val="1"/>
                <c:pt idx="0">
                  <c:v>Mission Operations</c:v>
                </c:pt>
              </c:strCache>
            </c:strRef>
          </c:tx>
          <c:spPr>
            <a:solidFill>
              <a:schemeClr val="accent6"/>
            </a:solidFill>
            <a:ln w="25400">
              <a:noFill/>
            </a:ln>
            <a:effectLst/>
          </c:spPr>
          <c:cat>
            <c:numRef>
              <c:f>DTE_cost_per_minute_forecast!$C$2:$L$2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DTE_cost_per_minute_forecast!$C$8:$L$8</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E37B-482F-8EEC-BBD0600E62FD}"/>
            </c:ext>
          </c:extLst>
        </c:ser>
        <c:ser>
          <c:idx val="6"/>
          <c:order val="6"/>
          <c:tx>
            <c:strRef>
              <c:f>DTE_cost_per_minute_forecast!$B$9</c:f>
              <c:strCache>
                <c:ptCount val="1"/>
                <c:pt idx="0">
                  <c:v>Launch Events</c:v>
                </c:pt>
              </c:strCache>
            </c:strRef>
          </c:tx>
          <c:spPr>
            <a:solidFill>
              <a:schemeClr val="accent1">
                <a:lumMod val="60000"/>
              </a:schemeClr>
            </a:solidFill>
            <a:ln w="25400">
              <a:noFill/>
            </a:ln>
            <a:effectLst/>
          </c:spPr>
          <c:cat>
            <c:numRef>
              <c:f>DTE_cost_per_minute_forecast!$C$2:$L$2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DTE_cost_per_minute_forecast!$C$9:$L$9</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6-E37B-482F-8EEC-BBD0600E62FD}"/>
            </c:ext>
          </c:extLst>
        </c:ser>
        <c:ser>
          <c:idx val="7"/>
          <c:order val="7"/>
          <c:tx>
            <c:strRef>
              <c:f>DTE_cost_per_minute_forecast!$B$10</c:f>
              <c:strCache>
                <c:ptCount val="1"/>
                <c:pt idx="0">
                  <c:v>Terrestrial &amp; Aerial</c:v>
                </c:pt>
              </c:strCache>
            </c:strRef>
          </c:tx>
          <c:spPr>
            <a:solidFill>
              <a:schemeClr val="accent2">
                <a:lumMod val="60000"/>
              </a:schemeClr>
            </a:solidFill>
            <a:ln w="25400">
              <a:noFill/>
            </a:ln>
            <a:effectLst/>
          </c:spPr>
          <c:cat>
            <c:numRef>
              <c:f>DTE_cost_per_minute_forecast!$C$2:$L$2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DTE_cost_per_minute_forecast!$C$10:$L$10</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7-E37B-482F-8EEC-BBD0600E62FD}"/>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Cost (USD)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r"/>
      <c:layout>
        <c:manualLayout>
          <c:xMode val="edge"/>
          <c:yMode val="edge"/>
          <c:x val="4.4387242158854021E-2"/>
          <c:y val="0.77799516251514711"/>
          <c:w val="0.91285533192475909"/>
          <c:h val="0.1898369369539180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b="0" i="0" baseline="0">
                <a:effectLst/>
              </a:rPr>
              <a:t>Total cost by use case (Baseline demand scenario) </a:t>
            </a:r>
            <a:r>
              <a:rPr lang="en-US" sz="1200" b="0" i="0" u="none" strike="noStrike" baseline="0">
                <a:effectLst/>
              </a:rPr>
              <a:t>(20% profit margin)</a:t>
            </a:r>
            <a:endParaRPr lang="en-US" sz="1200">
              <a:effectLst/>
            </a:endParaRP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5591303187231501"/>
          <c:y val="0.14037169986104678"/>
          <c:w val="0.81213044486907282"/>
          <c:h val="0.54532445340563085"/>
        </c:manualLayout>
      </c:layout>
      <c:areaChart>
        <c:grouping val="stacked"/>
        <c:varyColors val="0"/>
        <c:ser>
          <c:idx val="0"/>
          <c:order val="0"/>
          <c:tx>
            <c:strRef>
              <c:f>DTE_cost_per_minute_forecast!$B$21</c:f>
              <c:strCache>
                <c:ptCount val="1"/>
                <c:pt idx="0">
                  <c:v>Human Space Flight</c:v>
                </c:pt>
              </c:strCache>
            </c:strRef>
          </c:tx>
          <c:spPr>
            <a:solidFill>
              <a:schemeClr val="accent1"/>
            </a:solidFill>
            <a:ln>
              <a:noFill/>
            </a:ln>
            <a:effectLst/>
          </c:spPr>
          <c:cat>
            <c:numRef>
              <c:f>DTE_cost_per_minute_forecast!$C$20:$L$20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DTE_cost_per_minute_forecast!$C$21:$L$21</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3B75-4D9C-94B3-06704F0D06B4}"/>
            </c:ext>
          </c:extLst>
        </c:ser>
        <c:ser>
          <c:idx val="1"/>
          <c:order val="1"/>
          <c:tx>
            <c:strRef>
              <c:f>DTE_cost_per_minute_forecast!$B$22</c:f>
              <c:strCache>
                <c:ptCount val="1"/>
                <c:pt idx="0">
                  <c:v>Near Earth Robotic - LEO Science</c:v>
                </c:pt>
              </c:strCache>
            </c:strRef>
          </c:tx>
          <c:spPr>
            <a:solidFill>
              <a:schemeClr val="accent2"/>
            </a:solidFill>
            <a:ln>
              <a:noFill/>
            </a:ln>
            <a:effectLst/>
          </c:spPr>
          <c:cat>
            <c:numRef>
              <c:f>DTE_cost_per_minute_forecast!$C$20:$L$20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DTE_cost_per_minute_forecast!$C$22:$L$22</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3B75-4D9C-94B3-06704F0D06B4}"/>
            </c:ext>
          </c:extLst>
        </c:ser>
        <c:ser>
          <c:idx val="2"/>
          <c:order val="2"/>
          <c:tx>
            <c:strRef>
              <c:f>DTE_cost_per_minute_forecast!$B$23</c:f>
              <c:strCache>
                <c:ptCount val="1"/>
                <c:pt idx="0">
                  <c:v>Near Earth Robotic - GEO and Near Earth</c:v>
                </c:pt>
              </c:strCache>
            </c:strRef>
          </c:tx>
          <c:spPr>
            <a:solidFill>
              <a:schemeClr val="accent3"/>
            </a:solidFill>
            <a:ln>
              <a:noFill/>
            </a:ln>
            <a:effectLst/>
          </c:spPr>
          <c:cat>
            <c:numRef>
              <c:f>DTE_cost_per_minute_forecast!$C$20:$L$20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DTE_cost_per_minute_forecast!$C$23:$L$23</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2-3B75-4D9C-94B3-06704F0D06B4}"/>
            </c:ext>
          </c:extLst>
        </c:ser>
        <c:ser>
          <c:idx val="3"/>
          <c:order val="3"/>
          <c:tx>
            <c:strRef>
              <c:f>DTE_cost_per_minute_forecast!$B$24</c:f>
              <c:strCache>
                <c:ptCount val="1"/>
                <c:pt idx="0">
                  <c:v>Deep Space Robotic</c:v>
                </c:pt>
              </c:strCache>
            </c:strRef>
          </c:tx>
          <c:spPr>
            <a:solidFill>
              <a:schemeClr val="accent4"/>
            </a:solidFill>
            <a:ln w="25400">
              <a:noFill/>
            </a:ln>
            <a:effectLst/>
          </c:spPr>
          <c:cat>
            <c:numRef>
              <c:f>DTE_cost_per_minute_forecast!$C$20:$L$20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DTE_cost_per_minute_forecast!$C$24:$L$24</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3B75-4D9C-94B3-06704F0D06B4}"/>
            </c:ext>
          </c:extLst>
        </c:ser>
        <c:ser>
          <c:idx val="4"/>
          <c:order val="4"/>
          <c:tx>
            <c:strRef>
              <c:f>DTE_cost_per_minute_forecast!$B$25</c:f>
              <c:strCache>
                <c:ptCount val="1"/>
                <c:pt idx="0">
                  <c:v>Near Earth Robotic - Low Latency &amp; Complex Needs</c:v>
                </c:pt>
              </c:strCache>
            </c:strRef>
          </c:tx>
          <c:spPr>
            <a:solidFill>
              <a:schemeClr val="accent5"/>
            </a:solidFill>
            <a:ln w="25400">
              <a:noFill/>
            </a:ln>
            <a:effectLst/>
          </c:spPr>
          <c:cat>
            <c:numRef>
              <c:f>DTE_cost_per_minute_forecast!$C$20:$L$20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DTE_cost_per_minute_forecast!$C$25:$L$25</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3B75-4D9C-94B3-06704F0D06B4}"/>
            </c:ext>
          </c:extLst>
        </c:ser>
        <c:ser>
          <c:idx val="5"/>
          <c:order val="5"/>
          <c:tx>
            <c:strRef>
              <c:f>DTE_cost_per_minute_forecast!$B$26</c:f>
              <c:strCache>
                <c:ptCount val="1"/>
                <c:pt idx="0">
                  <c:v>Mission Operations</c:v>
                </c:pt>
              </c:strCache>
            </c:strRef>
          </c:tx>
          <c:spPr>
            <a:solidFill>
              <a:schemeClr val="accent6"/>
            </a:solidFill>
            <a:ln w="25400">
              <a:noFill/>
            </a:ln>
            <a:effectLst/>
          </c:spPr>
          <c:cat>
            <c:numRef>
              <c:f>DTE_cost_per_minute_forecast!$C$20:$L$20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DTE_cost_per_minute_forecast!$C$26:$L$26</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3B75-4D9C-94B3-06704F0D06B4}"/>
            </c:ext>
          </c:extLst>
        </c:ser>
        <c:ser>
          <c:idx val="6"/>
          <c:order val="6"/>
          <c:tx>
            <c:strRef>
              <c:f>DTE_cost_per_minute_forecast!$B$27</c:f>
              <c:strCache>
                <c:ptCount val="1"/>
                <c:pt idx="0">
                  <c:v>Launch Events</c:v>
                </c:pt>
              </c:strCache>
            </c:strRef>
          </c:tx>
          <c:spPr>
            <a:solidFill>
              <a:schemeClr val="accent1">
                <a:lumMod val="60000"/>
              </a:schemeClr>
            </a:solidFill>
            <a:ln w="25400">
              <a:noFill/>
            </a:ln>
            <a:effectLst/>
          </c:spPr>
          <c:cat>
            <c:numRef>
              <c:f>DTE_cost_per_minute_forecast!$C$20:$L$20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DTE_cost_per_minute_forecast!$C$27:$L$27</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6-3B75-4D9C-94B3-06704F0D06B4}"/>
            </c:ext>
          </c:extLst>
        </c:ser>
        <c:ser>
          <c:idx val="7"/>
          <c:order val="7"/>
          <c:tx>
            <c:strRef>
              <c:f>DTE_cost_per_minute_forecast!$B$28</c:f>
              <c:strCache>
                <c:ptCount val="1"/>
                <c:pt idx="0">
                  <c:v>Terrestrial &amp; Aerial</c:v>
                </c:pt>
              </c:strCache>
            </c:strRef>
          </c:tx>
          <c:spPr>
            <a:solidFill>
              <a:schemeClr val="accent2">
                <a:lumMod val="60000"/>
              </a:schemeClr>
            </a:solidFill>
            <a:ln w="25400">
              <a:noFill/>
            </a:ln>
            <a:effectLst/>
          </c:spPr>
          <c:cat>
            <c:numRef>
              <c:f>DTE_cost_per_minute_forecast!$C$20:$L$20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DTE_cost_per_minute_forecast!$C$28:$L$28</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7-3B75-4D9C-94B3-06704F0D06B4}"/>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b="0" i="0" baseline="0">
                <a:effectLst/>
              </a:rPr>
              <a:t>Total cost by use case (High demand scenario) </a:t>
            </a:r>
            <a:r>
              <a:rPr lang="en-US" sz="1200" b="0" i="0" u="none" strike="noStrike" baseline="0">
                <a:effectLst/>
              </a:rPr>
              <a:t>(20% profit margin)</a:t>
            </a:r>
            <a:endParaRPr lang="en-US" sz="1200">
              <a:effectLst/>
            </a:endParaRP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6648066522503069"/>
          <c:y val="0.13755100539470003"/>
          <c:w val="0.80156281151635722"/>
          <c:h val="0.56663816329744165"/>
        </c:manualLayout>
      </c:layout>
      <c:areaChart>
        <c:grouping val="stacked"/>
        <c:varyColors val="0"/>
        <c:ser>
          <c:idx val="0"/>
          <c:order val="0"/>
          <c:tx>
            <c:strRef>
              <c:f>DTE_cost_per_minute_forecast!$B$39</c:f>
              <c:strCache>
                <c:ptCount val="1"/>
                <c:pt idx="0">
                  <c:v>Human Space Flight</c:v>
                </c:pt>
              </c:strCache>
            </c:strRef>
          </c:tx>
          <c:spPr>
            <a:solidFill>
              <a:schemeClr val="accent1"/>
            </a:solidFill>
            <a:ln>
              <a:noFill/>
            </a:ln>
            <a:effectLst/>
          </c:spPr>
          <c:cat>
            <c:numRef>
              <c:f>DTE_cost_per_minute_forecast!$C$38:$L$38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DTE_cost_per_minute_forecast!$C$39:$L$39</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066E-4010-AB46-B22142B0764D}"/>
            </c:ext>
          </c:extLst>
        </c:ser>
        <c:ser>
          <c:idx val="1"/>
          <c:order val="1"/>
          <c:tx>
            <c:strRef>
              <c:f>DTE_cost_per_minute_forecast!$B$40</c:f>
              <c:strCache>
                <c:ptCount val="1"/>
                <c:pt idx="0">
                  <c:v>Near Earth Robotic - LEO Science</c:v>
                </c:pt>
              </c:strCache>
            </c:strRef>
          </c:tx>
          <c:spPr>
            <a:solidFill>
              <a:schemeClr val="accent2"/>
            </a:solidFill>
            <a:ln>
              <a:noFill/>
            </a:ln>
            <a:effectLst/>
          </c:spPr>
          <c:cat>
            <c:numRef>
              <c:f>DTE_cost_per_minute_forecast!$C$38:$L$38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DTE_cost_per_minute_forecast!$C$40:$L$40</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066E-4010-AB46-B22142B0764D}"/>
            </c:ext>
          </c:extLst>
        </c:ser>
        <c:ser>
          <c:idx val="2"/>
          <c:order val="2"/>
          <c:tx>
            <c:strRef>
              <c:f>DTE_cost_per_minute_forecast!$B$41</c:f>
              <c:strCache>
                <c:ptCount val="1"/>
                <c:pt idx="0">
                  <c:v>Near Earth Robotic - GEO and Near Earth</c:v>
                </c:pt>
              </c:strCache>
            </c:strRef>
          </c:tx>
          <c:spPr>
            <a:solidFill>
              <a:schemeClr val="accent3"/>
            </a:solidFill>
            <a:ln>
              <a:noFill/>
            </a:ln>
            <a:effectLst/>
          </c:spPr>
          <c:cat>
            <c:numRef>
              <c:f>DTE_cost_per_minute_forecast!$C$38:$L$38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DTE_cost_per_minute_forecast!$C$41:$L$41</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2-066E-4010-AB46-B22142B0764D}"/>
            </c:ext>
          </c:extLst>
        </c:ser>
        <c:ser>
          <c:idx val="3"/>
          <c:order val="3"/>
          <c:tx>
            <c:strRef>
              <c:f>DTE_cost_per_minute_forecast!$B$42</c:f>
              <c:strCache>
                <c:ptCount val="1"/>
                <c:pt idx="0">
                  <c:v>Deep Space Robotic</c:v>
                </c:pt>
              </c:strCache>
            </c:strRef>
          </c:tx>
          <c:spPr>
            <a:solidFill>
              <a:schemeClr val="accent4"/>
            </a:solidFill>
            <a:ln w="25400">
              <a:noFill/>
            </a:ln>
            <a:effectLst/>
          </c:spPr>
          <c:cat>
            <c:numRef>
              <c:f>DTE_cost_per_minute_forecast!$C$38:$L$38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DTE_cost_per_minute_forecast!$C$42:$L$42</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066E-4010-AB46-B22142B0764D}"/>
            </c:ext>
          </c:extLst>
        </c:ser>
        <c:ser>
          <c:idx val="4"/>
          <c:order val="4"/>
          <c:tx>
            <c:strRef>
              <c:f>DTE_cost_per_minute_forecast!$B$43</c:f>
              <c:strCache>
                <c:ptCount val="1"/>
                <c:pt idx="0">
                  <c:v>Near Earth Robotic - Low Latency &amp; Complex Needs</c:v>
                </c:pt>
              </c:strCache>
            </c:strRef>
          </c:tx>
          <c:spPr>
            <a:solidFill>
              <a:schemeClr val="accent5"/>
            </a:solidFill>
            <a:ln w="25400">
              <a:noFill/>
            </a:ln>
            <a:effectLst/>
          </c:spPr>
          <c:cat>
            <c:numRef>
              <c:f>DTE_cost_per_minute_forecast!$C$38:$L$38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DTE_cost_per_minute_forecast!$C$43:$L$43</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066E-4010-AB46-B22142B0764D}"/>
            </c:ext>
          </c:extLst>
        </c:ser>
        <c:ser>
          <c:idx val="5"/>
          <c:order val="5"/>
          <c:tx>
            <c:strRef>
              <c:f>DTE_cost_per_minute_forecast!$B$44</c:f>
              <c:strCache>
                <c:ptCount val="1"/>
                <c:pt idx="0">
                  <c:v>Mission Operations</c:v>
                </c:pt>
              </c:strCache>
            </c:strRef>
          </c:tx>
          <c:spPr>
            <a:solidFill>
              <a:schemeClr val="accent6"/>
            </a:solidFill>
            <a:ln w="25400">
              <a:noFill/>
            </a:ln>
            <a:effectLst/>
          </c:spPr>
          <c:cat>
            <c:numRef>
              <c:f>DTE_cost_per_minute_forecast!$C$38:$L$38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DTE_cost_per_minute_forecast!$C$44:$L$44</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066E-4010-AB46-B22142B0764D}"/>
            </c:ext>
          </c:extLst>
        </c:ser>
        <c:ser>
          <c:idx val="6"/>
          <c:order val="6"/>
          <c:tx>
            <c:strRef>
              <c:f>DTE_cost_per_minute_forecast!$B$45</c:f>
              <c:strCache>
                <c:ptCount val="1"/>
                <c:pt idx="0">
                  <c:v>Launch Events</c:v>
                </c:pt>
              </c:strCache>
            </c:strRef>
          </c:tx>
          <c:spPr>
            <a:solidFill>
              <a:schemeClr val="accent1">
                <a:lumMod val="60000"/>
              </a:schemeClr>
            </a:solidFill>
            <a:ln w="25400">
              <a:noFill/>
            </a:ln>
            <a:effectLst/>
          </c:spPr>
          <c:cat>
            <c:numRef>
              <c:f>DTE_cost_per_minute_forecast!$C$38:$L$38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DTE_cost_per_minute_forecast!$C$45:$L$45</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6-066E-4010-AB46-B22142B0764D}"/>
            </c:ext>
          </c:extLst>
        </c:ser>
        <c:ser>
          <c:idx val="7"/>
          <c:order val="7"/>
          <c:tx>
            <c:strRef>
              <c:f>DTE_cost_per_minute_forecast!$B$46</c:f>
              <c:strCache>
                <c:ptCount val="1"/>
                <c:pt idx="0">
                  <c:v>Terrestrial &amp; Aerial</c:v>
                </c:pt>
              </c:strCache>
            </c:strRef>
          </c:tx>
          <c:spPr>
            <a:solidFill>
              <a:schemeClr val="accent2">
                <a:lumMod val="60000"/>
              </a:schemeClr>
            </a:solidFill>
            <a:ln w="25400">
              <a:noFill/>
            </a:ln>
            <a:effectLst/>
          </c:spPr>
          <c:cat>
            <c:numRef>
              <c:f>DTE_cost_per_minute_forecast!$C$38:$L$38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DTE_cost_per_minute_forecast!$C$46:$L$46</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7-066E-4010-AB46-B22142B0764D}"/>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a:t>Total cost by use case (Low demand scenario) </a:t>
            </a:r>
            <a:r>
              <a:rPr lang="en-US" sz="1200" b="0" i="0" u="none" strike="noStrike" baseline="0">
                <a:effectLst/>
              </a:rPr>
              <a:t>(40% profit margin)</a:t>
            </a:r>
            <a:endParaRPr lang="en-US" sz="1200"/>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6580466952930259"/>
          <c:y val="0.18126685397946379"/>
          <c:w val="0.80223880721208529"/>
          <c:h val="0.48459830760805012"/>
        </c:manualLayout>
      </c:layout>
      <c:areaChart>
        <c:grouping val="stacked"/>
        <c:varyColors val="0"/>
        <c:ser>
          <c:idx val="0"/>
          <c:order val="0"/>
          <c:tx>
            <c:strRef>
              <c:f>DTE_cost_per_minute_forecast!$B$59</c:f>
              <c:strCache>
                <c:ptCount val="1"/>
                <c:pt idx="0">
                  <c:v>Human Space Flight</c:v>
                </c:pt>
              </c:strCache>
            </c:strRef>
          </c:tx>
          <c:spPr>
            <a:solidFill>
              <a:schemeClr val="accent1"/>
            </a:solidFill>
            <a:ln>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DTE_cost_per_minute_forecast!$C$59:$L$59</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B356-4FA9-85F3-6A619CD23A38}"/>
            </c:ext>
          </c:extLst>
        </c:ser>
        <c:ser>
          <c:idx val="1"/>
          <c:order val="1"/>
          <c:tx>
            <c:strRef>
              <c:f>DTE_cost_per_minute_forecast!$B$60</c:f>
              <c:strCache>
                <c:ptCount val="1"/>
                <c:pt idx="0">
                  <c:v>Near Earth Robotic - LEO Science</c:v>
                </c:pt>
              </c:strCache>
            </c:strRef>
          </c:tx>
          <c:spPr>
            <a:solidFill>
              <a:schemeClr val="accent2"/>
            </a:solidFill>
            <a:ln>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DTE_cost_per_minute_forecast!$C$60:$L$60</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B356-4FA9-85F3-6A619CD23A38}"/>
            </c:ext>
          </c:extLst>
        </c:ser>
        <c:ser>
          <c:idx val="2"/>
          <c:order val="2"/>
          <c:tx>
            <c:strRef>
              <c:f>DTE_cost_per_minute_forecast!$B$61</c:f>
              <c:strCache>
                <c:ptCount val="1"/>
                <c:pt idx="0">
                  <c:v>Near Earth Robotic - GEO and Near Earth</c:v>
                </c:pt>
              </c:strCache>
            </c:strRef>
          </c:tx>
          <c:spPr>
            <a:solidFill>
              <a:schemeClr val="accent3"/>
            </a:solidFill>
            <a:ln>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DTE_cost_per_minute_forecast!$C$61:$L$61</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2-B356-4FA9-85F3-6A619CD23A38}"/>
            </c:ext>
          </c:extLst>
        </c:ser>
        <c:ser>
          <c:idx val="3"/>
          <c:order val="3"/>
          <c:tx>
            <c:strRef>
              <c:f>DTE_cost_per_minute_forecast!$B$62</c:f>
              <c:strCache>
                <c:ptCount val="1"/>
                <c:pt idx="0">
                  <c:v>Deep Space Robotic</c:v>
                </c:pt>
              </c:strCache>
            </c:strRef>
          </c:tx>
          <c:spPr>
            <a:solidFill>
              <a:schemeClr val="accent4"/>
            </a:solidFill>
            <a:ln w="25400">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DTE_cost_per_minute_forecast!$C$62:$L$62</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B356-4FA9-85F3-6A619CD23A38}"/>
            </c:ext>
          </c:extLst>
        </c:ser>
        <c:ser>
          <c:idx val="4"/>
          <c:order val="4"/>
          <c:tx>
            <c:strRef>
              <c:f>DTE_cost_per_minute_forecast!$B$63</c:f>
              <c:strCache>
                <c:ptCount val="1"/>
                <c:pt idx="0">
                  <c:v>Near Earth Robotic - Low Latency &amp; Complex Needs</c:v>
                </c:pt>
              </c:strCache>
            </c:strRef>
          </c:tx>
          <c:spPr>
            <a:solidFill>
              <a:schemeClr val="accent5"/>
            </a:solidFill>
            <a:ln w="25400">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DTE_cost_per_minute_forecast!$C$63:$L$63</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B356-4FA9-85F3-6A619CD23A38}"/>
            </c:ext>
          </c:extLst>
        </c:ser>
        <c:ser>
          <c:idx val="5"/>
          <c:order val="5"/>
          <c:tx>
            <c:strRef>
              <c:f>DTE_cost_per_minute_forecast!$B$64</c:f>
              <c:strCache>
                <c:ptCount val="1"/>
                <c:pt idx="0">
                  <c:v>Mission Operations</c:v>
                </c:pt>
              </c:strCache>
            </c:strRef>
          </c:tx>
          <c:spPr>
            <a:solidFill>
              <a:schemeClr val="accent6"/>
            </a:solidFill>
            <a:ln w="25400">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DTE_cost_per_minute_forecast!$C$64:$L$64</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B356-4FA9-85F3-6A619CD23A38}"/>
            </c:ext>
          </c:extLst>
        </c:ser>
        <c:ser>
          <c:idx val="6"/>
          <c:order val="6"/>
          <c:tx>
            <c:strRef>
              <c:f>DTE_cost_per_minute_forecast!$B$65</c:f>
              <c:strCache>
                <c:ptCount val="1"/>
                <c:pt idx="0">
                  <c:v>Launch Events</c:v>
                </c:pt>
              </c:strCache>
            </c:strRef>
          </c:tx>
          <c:spPr>
            <a:solidFill>
              <a:schemeClr val="accent1">
                <a:lumMod val="60000"/>
              </a:schemeClr>
            </a:solidFill>
            <a:ln w="25400">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DTE_cost_per_minute_forecast!$C$65:$L$65</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6-B356-4FA9-85F3-6A619CD23A38}"/>
            </c:ext>
          </c:extLst>
        </c:ser>
        <c:ser>
          <c:idx val="7"/>
          <c:order val="7"/>
          <c:tx>
            <c:strRef>
              <c:f>DTE_cost_per_minute_forecast!$B$66</c:f>
              <c:strCache>
                <c:ptCount val="1"/>
                <c:pt idx="0">
                  <c:v>Terrestrial &amp; Aerial</c:v>
                </c:pt>
              </c:strCache>
            </c:strRef>
          </c:tx>
          <c:spPr>
            <a:solidFill>
              <a:schemeClr val="accent2">
                <a:lumMod val="60000"/>
              </a:schemeClr>
            </a:solidFill>
            <a:ln w="25400">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DTE_cost_per_minute_forecast!$C$66:$L$66</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7-B356-4FA9-85F3-6A619CD23A38}"/>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r"/>
      <c:layout>
        <c:manualLayout>
          <c:xMode val="edge"/>
          <c:yMode val="edge"/>
          <c:x val="4.4387242158854021E-2"/>
          <c:y val="0.77799516251514711"/>
          <c:w val="0.91285533192475909"/>
          <c:h val="0.1898369369539180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200" b="0" i="0" u="none" strike="noStrike" kern="1200" spc="0" baseline="0">
                <a:solidFill>
                  <a:sysClr val="windowText" lastClr="000000">
                    <a:lumMod val="65000"/>
                    <a:lumOff val="35000"/>
                  </a:sysClr>
                </a:solidFill>
                <a:latin typeface="+mn-lt"/>
                <a:ea typeface="+mn-ea"/>
                <a:cs typeface="+mn-cs"/>
              </a:defRPr>
            </a:pPr>
            <a:r>
              <a:rPr lang="en-US" sz="1200" b="0" i="0" baseline="0">
                <a:effectLst/>
              </a:rPr>
              <a:t>Total cost by use case (Baseline demand </a:t>
            </a:r>
            <a:r>
              <a:rPr lang="en-US" sz="1200" b="0" i="0" u="none" strike="noStrike" kern="1200" spc="0" baseline="0">
                <a:solidFill>
                  <a:sysClr val="windowText" lastClr="000000">
                    <a:lumMod val="65000"/>
                    <a:lumOff val="35000"/>
                  </a:sysClr>
                </a:solidFill>
                <a:effectLst/>
                <a:latin typeface="+mn-lt"/>
                <a:ea typeface="+mn-ea"/>
                <a:cs typeface="+mn-cs"/>
              </a:rPr>
              <a:t>scenario) (40% profit margin)</a:t>
            </a:r>
            <a:r>
              <a:rPr lang="en-US" sz="1200" b="0" i="0" baseline="0">
                <a:effectLst/>
              </a:rPr>
              <a:t> </a:t>
            </a:r>
            <a:endParaRPr lang="en-US" sz="1200">
              <a:effectLst/>
            </a:endParaRP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2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lotArea>
      <c:layout>
        <c:manualLayout>
          <c:layoutTarget val="inner"/>
          <c:xMode val="edge"/>
          <c:yMode val="edge"/>
          <c:x val="0.15591303187231501"/>
          <c:y val="0.14037169986104678"/>
          <c:w val="0.81213044486907282"/>
          <c:h val="0.57779952138335644"/>
        </c:manualLayout>
      </c:layout>
      <c:areaChart>
        <c:grouping val="stacked"/>
        <c:varyColors val="0"/>
        <c:ser>
          <c:idx val="0"/>
          <c:order val="0"/>
          <c:tx>
            <c:strRef>
              <c:f>DTE_cost_per_minute_forecast!$B$77</c:f>
              <c:strCache>
                <c:ptCount val="1"/>
                <c:pt idx="0">
                  <c:v>Human Space Flight</c:v>
                </c:pt>
              </c:strCache>
            </c:strRef>
          </c:tx>
          <c:spPr>
            <a:solidFill>
              <a:schemeClr val="accent1"/>
            </a:solidFill>
            <a:ln>
              <a:noFill/>
            </a:ln>
            <a:effectLst/>
          </c:spPr>
          <c:cat>
            <c:numRef>
              <c:f>DTE_cost_per_minute_forecast!$C$76:$L$76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DTE_cost_per_minute_forecast!$C$77:$L$77</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EDA7-4F53-B4A6-4AE626203AE3}"/>
            </c:ext>
          </c:extLst>
        </c:ser>
        <c:ser>
          <c:idx val="1"/>
          <c:order val="1"/>
          <c:tx>
            <c:strRef>
              <c:f>DTE_cost_per_minute_forecast!$B$78</c:f>
              <c:strCache>
                <c:ptCount val="1"/>
                <c:pt idx="0">
                  <c:v>Near Earth Robotic - LEO Science</c:v>
                </c:pt>
              </c:strCache>
            </c:strRef>
          </c:tx>
          <c:spPr>
            <a:solidFill>
              <a:schemeClr val="accent2"/>
            </a:solidFill>
            <a:ln>
              <a:noFill/>
            </a:ln>
            <a:effectLst/>
          </c:spPr>
          <c:cat>
            <c:numRef>
              <c:f>DTE_cost_per_minute_forecast!$C$76:$L$76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DTE_cost_per_minute_forecast!$C$78:$L$78</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EDA7-4F53-B4A6-4AE626203AE3}"/>
            </c:ext>
          </c:extLst>
        </c:ser>
        <c:ser>
          <c:idx val="2"/>
          <c:order val="2"/>
          <c:tx>
            <c:strRef>
              <c:f>DTE_cost_per_minute_forecast!$B$79</c:f>
              <c:strCache>
                <c:ptCount val="1"/>
                <c:pt idx="0">
                  <c:v>Near Earth Robotic - GEO and Near Earth</c:v>
                </c:pt>
              </c:strCache>
            </c:strRef>
          </c:tx>
          <c:spPr>
            <a:solidFill>
              <a:schemeClr val="accent3"/>
            </a:solidFill>
            <a:ln>
              <a:noFill/>
            </a:ln>
            <a:effectLst/>
          </c:spPr>
          <c:cat>
            <c:numRef>
              <c:f>DTE_cost_per_minute_forecast!$C$76:$L$76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DTE_cost_per_minute_forecast!$C$79:$L$79</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2-EDA7-4F53-B4A6-4AE626203AE3}"/>
            </c:ext>
          </c:extLst>
        </c:ser>
        <c:ser>
          <c:idx val="3"/>
          <c:order val="3"/>
          <c:tx>
            <c:strRef>
              <c:f>DTE_cost_per_minute_forecast!$B$80</c:f>
              <c:strCache>
                <c:ptCount val="1"/>
                <c:pt idx="0">
                  <c:v>Deep Space Robotic</c:v>
                </c:pt>
              </c:strCache>
            </c:strRef>
          </c:tx>
          <c:spPr>
            <a:solidFill>
              <a:schemeClr val="accent4"/>
            </a:solidFill>
            <a:ln w="25400">
              <a:noFill/>
            </a:ln>
            <a:effectLst/>
          </c:spPr>
          <c:cat>
            <c:numRef>
              <c:f>DTE_cost_per_minute_forecast!$C$76:$L$76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DTE_cost_per_minute_forecast!$C$80:$L$80</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EDA7-4F53-B4A6-4AE626203AE3}"/>
            </c:ext>
          </c:extLst>
        </c:ser>
        <c:ser>
          <c:idx val="4"/>
          <c:order val="4"/>
          <c:tx>
            <c:strRef>
              <c:f>DTE_cost_per_minute_forecast!$B$81</c:f>
              <c:strCache>
                <c:ptCount val="1"/>
                <c:pt idx="0">
                  <c:v>Near Earth Robotic - Low Latency &amp; Complex Needs</c:v>
                </c:pt>
              </c:strCache>
            </c:strRef>
          </c:tx>
          <c:spPr>
            <a:solidFill>
              <a:schemeClr val="accent5"/>
            </a:solidFill>
            <a:ln w="25400">
              <a:noFill/>
            </a:ln>
            <a:effectLst/>
          </c:spPr>
          <c:cat>
            <c:numRef>
              <c:f>DTE_cost_per_minute_forecast!$C$76:$L$76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DTE_cost_per_minute_forecast!$C$81:$L$81</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EDA7-4F53-B4A6-4AE626203AE3}"/>
            </c:ext>
          </c:extLst>
        </c:ser>
        <c:ser>
          <c:idx val="5"/>
          <c:order val="5"/>
          <c:tx>
            <c:strRef>
              <c:f>DTE_cost_per_minute_forecast!$B$82</c:f>
              <c:strCache>
                <c:ptCount val="1"/>
                <c:pt idx="0">
                  <c:v>Mission Operations</c:v>
                </c:pt>
              </c:strCache>
            </c:strRef>
          </c:tx>
          <c:spPr>
            <a:solidFill>
              <a:schemeClr val="accent6"/>
            </a:solidFill>
            <a:ln w="25400">
              <a:noFill/>
            </a:ln>
            <a:effectLst/>
          </c:spPr>
          <c:cat>
            <c:numRef>
              <c:f>DTE_cost_per_minute_forecast!$C$76:$L$76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DTE_cost_per_minute_forecast!$C$82:$L$82</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EDA7-4F53-B4A6-4AE626203AE3}"/>
            </c:ext>
          </c:extLst>
        </c:ser>
        <c:ser>
          <c:idx val="6"/>
          <c:order val="6"/>
          <c:tx>
            <c:strRef>
              <c:f>DTE_cost_per_minute_forecast!$B$83</c:f>
              <c:strCache>
                <c:ptCount val="1"/>
                <c:pt idx="0">
                  <c:v>Launch Events</c:v>
                </c:pt>
              </c:strCache>
            </c:strRef>
          </c:tx>
          <c:spPr>
            <a:solidFill>
              <a:schemeClr val="accent1">
                <a:lumMod val="60000"/>
              </a:schemeClr>
            </a:solidFill>
            <a:ln w="25400">
              <a:noFill/>
            </a:ln>
            <a:effectLst/>
          </c:spPr>
          <c:cat>
            <c:numRef>
              <c:f>DTE_cost_per_minute_forecast!$C$76:$L$76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DTE_cost_per_minute_forecast!$C$83:$L$83</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6-EDA7-4F53-B4A6-4AE626203AE3}"/>
            </c:ext>
          </c:extLst>
        </c:ser>
        <c:ser>
          <c:idx val="7"/>
          <c:order val="7"/>
          <c:tx>
            <c:strRef>
              <c:f>DTE_cost_per_minute_forecast!$B$84</c:f>
              <c:strCache>
                <c:ptCount val="1"/>
                <c:pt idx="0">
                  <c:v>Terrestrial &amp; Aerial</c:v>
                </c:pt>
              </c:strCache>
            </c:strRef>
          </c:tx>
          <c:spPr>
            <a:solidFill>
              <a:schemeClr val="accent2">
                <a:lumMod val="60000"/>
              </a:schemeClr>
            </a:solidFill>
            <a:ln w="25400">
              <a:noFill/>
            </a:ln>
            <a:effectLst/>
          </c:spPr>
          <c:cat>
            <c:numRef>
              <c:f>DTE_cost_per_minute_forecast!$C$76:$L$76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DTE_cost_per_minute_forecast!$C$84:$L$84</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7-EDA7-4F53-B4A6-4AE626203AE3}"/>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b="0" i="0" baseline="0">
                <a:effectLst/>
              </a:rPr>
              <a:t>Total cost by use case (High demand scenario)</a:t>
            </a:r>
            <a:r>
              <a:rPr lang="en-US" sz="1200" b="0" i="0" u="none" strike="noStrike" baseline="0">
                <a:effectLst/>
              </a:rPr>
              <a:t> (40% profit margin) </a:t>
            </a:r>
            <a:endParaRPr lang="en-US" sz="1200">
              <a:effectLst/>
            </a:endParaRP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6648066522503069"/>
          <c:y val="0.13755100539470003"/>
          <c:w val="0.80156281151635722"/>
          <c:h val="0.56663816329744165"/>
        </c:manualLayout>
      </c:layout>
      <c:areaChart>
        <c:grouping val="stacked"/>
        <c:varyColors val="0"/>
        <c:ser>
          <c:idx val="0"/>
          <c:order val="0"/>
          <c:tx>
            <c:strRef>
              <c:f>DTE_cost_per_minute_forecast!$B$95</c:f>
              <c:strCache>
                <c:ptCount val="1"/>
                <c:pt idx="0">
                  <c:v>Human Space Flight</c:v>
                </c:pt>
              </c:strCache>
            </c:strRef>
          </c:tx>
          <c:spPr>
            <a:solidFill>
              <a:schemeClr val="accent1"/>
            </a:solidFill>
            <a:ln>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DTE_cost_per_minute_forecast!$C$95:$L$95</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FC0C-4EEF-8A7B-1D8886ADA506}"/>
            </c:ext>
          </c:extLst>
        </c:ser>
        <c:ser>
          <c:idx val="1"/>
          <c:order val="1"/>
          <c:tx>
            <c:strRef>
              <c:f>DTE_cost_per_minute_forecast!$B$96</c:f>
              <c:strCache>
                <c:ptCount val="1"/>
                <c:pt idx="0">
                  <c:v>Near Earth Robotic - LEO Science</c:v>
                </c:pt>
              </c:strCache>
            </c:strRef>
          </c:tx>
          <c:spPr>
            <a:solidFill>
              <a:schemeClr val="accent2"/>
            </a:solidFill>
            <a:ln>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DTE_cost_per_minute_forecast!$C$96:$L$96</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FC0C-4EEF-8A7B-1D8886ADA506}"/>
            </c:ext>
          </c:extLst>
        </c:ser>
        <c:ser>
          <c:idx val="2"/>
          <c:order val="2"/>
          <c:tx>
            <c:strRef>
              <c:f>DTE_cost_per_minute_forecast!$B$97</c:f>
              <c:strCache>
                <c:ptCount val="1"/>
                <c:pt idx="0">
                  <c:v>Near Earth Robotic - GEO and Near Earth</c:v>
                </c:pt>
              </c:strCache>
            </c:strRef>
          </c:tx>
          <c:spPr>
            <a:solidFill>
              <a:schemeClr val="accent3"/>
            </a:solidFill>
            <a:ln>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DTE_cost_per_minute_forecast!$C$97:$L$97</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2-FC0C-4EEF-8A7B-1D8886ADA506}"/>
            </c:ext>
          </c:extLst>
        </c:ser>
        <c:ser>
          <c:idx val="3"/>
          <c:order val="3"/>
          <c:tx>
            <c:strRef>
              <c:f>DTE_cost_per_minute_forecast!$B$98</c:f>
              <c:strCache>
                <c:ptCount val="1"/>
                <c:pt idx="0">
                  <c:v>Deep Space Robotic</c:v>
                </c:pt>
              </c:strCache>
            </c:strRef>
          </c:tx>
          <c:spPr>
            <a:solidFill>
              <a:schemeClr val="accent4"/>
            </a:solidFill>
            <a:ln w="25400">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DTE_cost_per_minute_forecast!$C$98:$L$98</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FC0C-4EEF-8A7B-1D8886ADA506}"/>
            </c:ext>
          </c:extLst>
        </c:ser>
        <c:ser>
          <c:idx val="4"/>
          <c:order val="4"/>
          <c:tx>
            <c:strRef>
              <c:f>DTE_cost_per_minute_forecast!$B$99</c:f>
              <c:strCache>
                <c:ptCount val="1"/>
                <c:pt idx="0">
                  <c:v>Near Earth Robotic - Low Latency &amp; Complex Needs</c:v>
                </c:pt>
              </c:strCache>
            </c:strRef>
          </c:tx>
          <c:spPr>
            <a:solidFill>
              <a:schemeClr val="accent5"/>
            </a:solidFill>
            <a:ln w="25400">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DTE_cost_per_minute_forecast!$C$99:$L$99</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FC0C-4EEF-8A7B-1D8886ADA506}"/>
            </c:ext>
          </c:extLst>
        </c:ser>
        <c:ser>
          <c:idx val="5"/>
          <c:order val="5"/>
          <c:tx>
            <c:strRef>
              <c:f>DTE_cost_per_minute_forecast!$B$100</c:f>
              <c:strCache>
                <c:ptCount val="1"/>
                <c:pt idx="0">
                  <c:v>Mission Operations</c:v>
                </c:pt>
              </c:strCache>
            </c:strRef>
          </c:tx>
          <c:spPr>
            <a:solidFill>
              <a:schemeClr val="accent6"/>
            </a:solidFill>
            <a:ln w="25400">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DTE_cost_per_minute_forecast!$C$100:$L$100</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FC0C-4EEF-8A7B-1D8886ADA506}"/>
            </c:ext>
          </c:extLst>
        </c:ser>
        <c:ser>
          <c:idx val="6"/>
          <c:order val="6"/>
          <c:tx>
            <c:strRef>
              <c:f>DTE_cost_per_minute_forecast!$B$101</c:f>
              <c:strCache>
                <c:ptCount val="1"/>
                <c:pt idx="0">
                  <c:v>Launch Events</c:v>
                </c:pt>
              </c:strCache>
            </c:strRef>
          </c:tx>
          <c:spPr>
            <a:solidFill>
              <a:schemeClr val="accent1">
                <a:lumMod val="60000"/>
              </a:schemeClr>
            </a:solidFill>
            <a:ln w="25400">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DTE_cost_per_minute_forecast!$C$101:$L$101</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6-FC0C-4EEF-8A7B-1D8886ADA506}"/>
            </c:ext>
          </c:extLst>
        </c:ser>
        <c:ser>
          <c:idx val="7"/>
          <c:order val="7"/>
          <c:tx>
            <c:strRef>
              <c:f>DTE_cost_per_minute_forecast!$B$102</c:f>
              <c:strCache>
                <c:ptCount val="1"/>
                <c:pt idx="0">
                  <c:v>Terrestrial &amp; Aerial</c:v>
                </c:pt>
              </c:strCache>
            </c:strRef>
          </c:tx>
          <c:spPr>
            <a:solidFill>
              <a:schemeClr val="accent2">
                <a:lumMod val="60000"/>
              </a:schemeClr>
            </a:solidFill>
            <a:ln w="25400">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DTE_cost_per_minute_forecast!$C$102:$L$102</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7-FC0C-4EEF-8A7B-1D8886ADA506}"/>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a:t>Total cost by use case (Low demand scenario) </a:t>
            </a:r>
            <a:r>
              <a:rPr lang="en-US" sz="1200" b="0" i="0" u="none" strike="noStrike" baseline="0">
                <a:effectLst/>
              </a:rPr>
              <a:t>) (60% profit margin) </a:t>
            </a:r>
            <a:endParaRPr lang="en-US" sz="1200"/>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6580466952930259"/>
          <c:y val="0.18126685397946379"/>
          <c:w val="0.80223880721208529"/>
          <c:h val="0.48459830760805012"/>
        </c:manualLayout>
      </c:layout>
      <c:areaChart>
        <c:grouping val="stacked"/>
        <c:varyColors val="0"/>
        <c:ser>
          <c:idx val="0"/>
          <c:order val="0"/>
          <c:tx>
            <c:strRef>
              <c:f>DTE_cost_per_minute_forecast!$B$115</c:f>
              <c:strCache>
                <c:ptCount val="1"/>
                <c:pt idx="0">
                  <c:v>Human Space Flight</c:v>
                </c:pt>
              </c:strCache>
            </c:strRef>
          </c:tx>
          <c:spPr>
            <a:solidFill>
              <a:schemeClr val="accent1"/>
            </a:solidFill>
            <a:ln>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DTE_cost_per_minute_forecast!$C$115:$L$115</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16A7-4652-9972-A045DF85B632}"/>
            </c:ext>
          </c:extLst>
        </c:ser>
        <c:ser>
          <c:idx val="1"/>
          <c:order val="1"/>
          <c:tx>
            <c:strRef>
              <c:f>DTE_cost_per_minute_forecast!$B$116</c:f>
              <c:strCache>
                <c:ptCount val="1"/>
                <c:pt idx="0">
                  <c:v>Near Earth Robotic - LEO Science</c:v>
                </c:pt>
              </c:strCache>
            </c:strRef>
          </c:tx>
          <c:spPr>
            <a:solidFill>
              <a:schemeClr val="accent2"/>
            </a:solidFill>
            <a:ln>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DTE_cost_per_minute_forecast!$C$116:$L$116</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16A7-4652-9972-A045DF85B632}"/>
            </c:ext>
          </c:extLst>
        </c:ser>
        <c:ser>
          <c:idx val="2"/>
          <c:order val="2"/>
          <c:tx>
            <c:strRef>
              <c:f>DTE_cost_per_minute_forecast!$B$117</c:f>
              <c:strCache>
                <c:ptCount val="1"/>
                <c:pt idx="0">
                  <c:v>Near Earth Robotic - GEO and Near Earth</c:v>
                </c:pt>
              </c:strCache>
            </c:strRef>
          </c:tx>
          <c:spPr>
            <a:solidFill>
              <a:schemeClr val="accent3"/>
            </a:solidFill>
            <a:ln>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DTE_cost_per_minute_forecast!$C$117:$L$117</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2-16A7-4652-9972-A045DF85B632}"/>
            </c:ext>
          </c:extLst>
        </c:ser>
        <c:ser>
          <c:idx val="3"/>
          <c:order val="3"/>
          <c:tx>
            <c:strRef>
              <c:f>DTE_cost_per_minute_forecast!$B$118</c:f>
              <c:strCache>
                <c:ptCount val="1"/>
                <c:pt idx="0">
                  <c:v>Deep Space Robotic</c:v>
                </c:pt>
              </c:strCache>
            </c:strRef>
          </c:tx>
          <c:spPr>
            <a:solidFill>
              <a:schemeClr val="accent4"/>
            </a:solidFill>
            <a:ln w="25400">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DTE_cost_per_minute_forecast!$C$118:$L$118</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16A7-4652-9972-A045DF85B632}"/>
            </c:ext>
          </c:extLst>
        </c:ser>
        <c:ser>
          <c:idx val="4"/>
          <c:order val="4"/>
          <c:tx>
            <c:strRef>
              <c:f>DTE_cost_per_minute_forecast!$B$119</c:f>
              <c:strCache>
                <c:ptCount val="1"/>
                <c:pt idx="0">
                  <c:v>Near Earth Robotic - Low Latency &amp; Complex Needs</c:v>
                </c:pt>
              </c:strCache>
            </c:strRef>
          </c:tx>
          <c:spPr>
            <a:solidFill>
              <a:schemeClr val="accent5"/>
            </a:solidFill>
            <a:ln w="25400">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DTE_cost_per_minute_forecast!$C$119:$L$119</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16A7-4652-9972-A045DF85B632}"/>
            </c:ext>
          </c:extLst>
        </c:ser>
        <c:ser>
          <c:idx val="5"/>
          <c:order val="5"/>
          <c:tx>
            <c:strRef>
              <c:f>DTE_cost_per_minute_forecast!$B$120</c:f>
              <c:strCache>
                <c:ptCount val="1"/>
                <c:pt idx="0">
                  <c:v>Mission Operations</c:v>
                </c:pt>
              </c:strCache>
            </c:strRef>
          </c:tx>
          <c:spPr>
            <a:solidFill>
              <a:schemeClr val="accent6"/>
            </a:solidFill>
            <a:ln w="25400">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DTE_cost_per_minute_forecast!$C$120:$L$120</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16A7-4652-9972-A045DF85B632}"/>
            </c:ext>
          </c:extLst>
        </c:ser>
        <c:ser>
          <c:idx val="6"/>
          <c:order val="6"/>
          <c:tx>
            <c:strRef>
              <c:f>DTE_cost_per_minute_forecast!$B$121</c:f>
              <c:strCache>
                <c:ptCount val="1"/>
                <c:pt idx="0">
                  <c:v>Launch Events</c:v>
                </c:pt>
              </c:strCache>
            </c:strRef>
          </c:tx>
          <c:spPr>
            <a:solidFill>
              <a:schemeClr val="accent1">
                <a:lumMod val="60000"/>
              </a:schemeClr>
            </a:solidFill>
            <a:ln w="25400">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DTE_cost_per_minute_forecast!$C$121:$L$121</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6-16A7-4652-9972-A045DF85B632}"/>
            </c:ext>
          </c:extLst>
        </c:ser>
        <c:ser>
          <c:idx val="7"/>
          <c:order val="7"/>
          <c:tx>
            <c:strRef>
              <c:f>DTE_cost_per_minute_forecast!$B$122</c:f>
              <c:strCache>
                <c:ptCount val="1"/>
                <c:pt idx="0">
                  <c:v>Terrestrial &amp; Aerial</c:v>
                </c:pt>
              </c:strCache>
            </c:strRef>
          </c:tx>
          <c:spPr>
            <a:solidFill>
              <a:schemeClr val="accent2">
                <a:lumMod val="60000"/>
              </a:schemeClr>
            </a:solidFill>
            <a:ln w="25400">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DTE_cost_per_minute_forecast!$C$122:$L$122</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7-16A7-4652-9972-A045DF85B632}"/>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r"/>
      <c:layout>
        <c:manualLayout>
          <c:xMode val="edge"/>
          <c:yMode val="edge"/>
          <c:x val="4.4387242158854021E-2"/>
          <c:y val="0.77799516251514711"/>
          <c:w val="0.91285533192475909"/>
          <c:h val="0.1898369369539180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b="0" i="0" baseline="0">
                <a:effectLst/>
              </a:rPr>
              <a:t>Total cost by use case (Baseline demand scenario) </a:t>
            </a:r>
            <a:r>
              <a:rPr lang="en-US" sz="1200" b="0" i="0" u="none" strike="noStrike" baseline="0">
                <a:effectLst/>
              </a:rPr>
              <a:t>(60% profit margin)</a:t>
            </a:r>
            <a:endParaRPr lang="en-US" sz="1200">
              <a:effectLst/>
            </a:endParaRP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5591303187231501"/>
          <c:y val="0.14037169986104678"/>
          <c:w val="0.81213044486907282"/>
          <c:h val="0.57779952138335644"/>
        </c:manualLayout>
      </c:layout>
      <c:areaChart>
        <c:grouping val="stacked"/>
        <c:varyColors val="0"/>
        <c:ser>
          <c:idx val="0"/>
          <c:order val="0"/>
          <c:tx>
            <c:strRef>
              <c:f>DTE_cost_per_minute_forecast!$B$133</c:f>
              <c:strCache>
                <c:ptCount val="1"/>
                <c:pt idx="0">
                  <c:v>Human Space Flight</c:v>
                </c:pt>
              </c:strCache>
            </c:strRef>
          </c:tx>
          <c:spPr>
            <a:solidFill>
              <a:schemeClr val="accent1"/>
            </a:solidFill>
            <a:ln>
              <a:noFill/>
            </a:ln>
            <a:effectLst/>
          </c:spPr>
          <c:cat>
            <c:numRef>
              <c:f>DTE_cost_per_minute_forecast!$C$76:$L$76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DTE_cost_per_minute_forecast!$C$133:$L$133</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43AC-4AB7-B3D1-DB33850214E9}"/>
            </c:ext>
          </c:extLst>
        </c:ser>
        <c:ser>
          <c:idx val="1"/>
          <c:order val="1"/>
          <c:tx>
            <c:strRef>
              <c:f>DTE_cost_per_minute_forecast!$B$134</c:f>
              <c:strCache>
                <c:ptCount val="1"/>
                <c:pt idx="0">
                  <c:v>Near Earth Robotic - LEO Science</c:v>
                </c:pt>
              </c:strCache>
            </c:strRef>
          </c:tx>
          <c:spPr>
            <a:solidFill>
              <a:schemeClr val="accent2"/>
            </a:solidFill>
            <a:ln>
              <a:noFill/>
            </a:ln>
            <a:effectLst/>
          </c:spPr>
          <c:cat>
            <c:numRef>
              <c:f>DTE_cost_per_minute_forecast!$C$76:$L$76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DTE_cost_per_minute_forecast!$C$134:$L$134</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43AC-4AB7-B3D1-DB33850214E9}"/>
            </c:ext>
          </c:extLst>
        </c:ser>
        <c:ser>
          <c:idx val="2"/>
          <c:order val="2"/>
          <c:tx>
            <c:strRef>
              <c:f>DTE_cost_per_minute_forecast!$B$135</c:f>
              <c:strCache>
                <c:ptCount val="1"/>
                <c:pt idx="0">
                  <c:v>Near Earth Robotic - GEO and Near Earth</c:v>
                </c:pt>
              </c:strCache>
            </c:strRef>
          </c:tx>
          <c:spPr>
            <a:solidFill>
              <a:schemeClr val="accent3"/>
            </a:solidFill>
            <a:ln>
              <a:noFill/>
            </a:ln>
            <a:effectLst/>
          </c:spPr>
          <c:cat>
            <c:numRef>
              <c:f>DTE_cost_per_minute_forecast!$C$76:$L$76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DTE_cost_per_minute_forecast!$C$135:$L$135</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2-43AC-4AB7-B3D1-DB33850214E9}"/>
            </c:ext>
          </c:extLst>
        </c:ser>
        <c:ser>
          <c:idx val="3"/>
          <c:order val="3"/>
          <c:tx>
            <c:strRef>
              <c:f>DTE_cost_per_minute_forecast!$B$136</c:f>
              <c:strCache>
                <c:ptCount val="1"/>
                <c:pt idx="0">
                  <c:v>Deep Space Robotic</c:v>
                </c:pt>
              </c:strCache>
            </c:strRef>
          </c:tx>
          <c:spPr>
            <a:solidFill>
              <a:schemeClr val="accent4"/>
            </a:solidFill>
            <a:ln w="25400">
              <a:noFill/>
            </a:ln>
            <a:effectLst/>
          </c:spPr>
          <c:cat>
            <c:numRef>
              <c:f>DTE_cost_per_minute_forecast!$C$76:$L$76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DTE_cost_per_minute_forecast!$C$136:$L$136</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43AC-4AB7-B3D1-DB33850214E9}"/>
            </c:ext>
          </c:extLst>
        </c:ser>
        <c:ser>
          <c:idx val="4"/>
          <c:order val="4"/>
          <c:tx>
            <c:strRef>
              <c:f>DTE_cost_per_minute_forecast!$B$137</c:f>
              <c:strCache>
                <c:ptCount val="1"/>
                <c:pt idx="0">
                  <c:v>Near Earth Robotic - Low Latency &amp; Complex Needs</c:v>
                </c:pt>
              </c:strCache>
            </c:strRef>
          </c:tx>
          <c:spPr>
            <a:solidFill>
              <a:schemeClr val="accent5"/>
            </a:solidFill>
            <a:ln w="25400">
              <a:noFill/>
            </a:ln>
            <a:effectLst/>
          </c:spPr>
          <c:cat>
            <c:numRef>
              <c:f>DTE_cost_per_minute_forecast!$C$76:$L$76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DTE_cost_per_minute_forecast!$C$137:$L$137</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43AC-4AB7-B3D1-DB33850214E9}"/>
            </c:ext>
          </c:extLst>
        </c:ser>
        <c:ser>
          <c:idx val="5"/>
          <c:order val="5"/>
          <c:tx>
            <c:strRef>
              <c:f>DTE_cost_per_minute_forecast!$B$138</c:f>
              <c:strCache>
                <c:ptCount val="1"/>
                <c:pt idx="0">
                  <c:v>Mission Operations</c:v>
                </c:pt>
              </c:strCache>
            </c:strRef>
          </c:tx>
          <c:spPr>
            <a:solidFill>
              <a:schemeClr val="accent6"/>
            </a:solidFill>
            <a:ln w="25400">
              <a:noFill/>
            </a:ln>
            <a:effectLst/>
          </c:spPr>
          <c:cat>
            <c:numRef>
              <c:f>DTE_cost_per_minute_forecast!$C$76:$L$76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DTE_cost_per_minute_forecast!$C$138:$L$138</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43AC-4AB7-B3D1-DB33850214E9}"/>
            </c:ext>
          </c:extLst>
        </c:ser>
        <c:ser>
          <c:idx val="6"/>
          <c:order val="6"/>
          <c:tx>
            <c:strRef>
              <c:f>DTE_cost_per_minute_forecast!$B$139</c:f>
              <c:strCache>
                <c:ptCount val="1"/>
                <c:pt idx="0">
                  <c:v>Launch Events</c:v>
                </c:pt>
              </c:strCache>
            </c:strRef>
          </c:tx>
          <c:spPr>
            <a:solidFill>
              <a:schemeClr val="accent1">
                <a:lumMod val="60000"/>
              </a:schemeClr>
            </a:solidFill>
            <a:ln w="25400">
              <a:noFill/>
            </a:ln>
            <a:effectLst/>
          </c:spPr>
          <c:cat>
            <c:numRef>
              <c:f>DTE_cost_per_minute_forecast!$C$76:$L$76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DTE_cost_per_minute_forecast!$C$139:$L$139</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6-43AC-4AB7-B3D1-DB33850214E9}"/>
            </c:ext>
          </c:extLst>
        </c:ser>
        <c:ser>
          <c:idx val="7"/>
          <c:order val="7"/>
          <c:tx>
            <c:strRef>
              <c:f>DTE_cost_per_minute_forecast!$B$140</c:f>
              <c:strCache>
                <c:ptCount val="1"/>
                <c:pt idx="0">
                  <c:v>Terrestrial &amp; Aerial</c:v>
                </c:pt>
              </c:strCache>
            </c:strRef>
          </c:tx>
          <c:spPr>
            <a:solidFill>
              <a:schemeClr val="accent2">
                <a:lumMod val="60000"/>
              </a:schemeClr>
            </a:solidFill>
            <a:ln w="25400">
              <a:noFill/>
            </a:ln>
            <a:effectLst/>
          </c:spPr>
          <c:cat>
            <c:numRef>
              <c:f>DTE_cost_per_minute_forecast!$C$76:$L$76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DTE_cost_per_minute_forecast!$C$140:$L$140</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7-43AC-4AB7-B3D1-DB33850214E9}"/>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b="0" i="0" baseline="0">
                <a:effectLst/>
              </a:rPr>
              <a:t>Total cost by use case (High demand scenario) </a:t>
            </a:r>
            <a:r>
              <a:rPr lang="en-US" sz="1200" b="0" i="0" u="none" strike="noStrike" baseline="0">
                <a:effectLst/>
              </a:rPr>
              <a:t>(60% profit margin)</a:t>
            </a:r>
            <a:endParaRPr lang="en-US" sz="1200">
              <a:effectLst/>
            </a:endParaRP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6648066522503069"/>
          <c:y val="0.13755100539470003"/>
          <c:w val="0.80156281151635722"/>
          <c:h val="0.56663816329744165"/>
        </c:manualLayout>
      </c:layout>
      <c:areaChart>
        <c:grouping val="stacked"/>
        <c:varyColors val="0"/>
        <c:ser>
          <c:idx val="0"/>
          <c:order val="0"/>
          <c:tx>
            <c:strRef>
              <c:f>DTE_cost_per_minute_forecast!$B$151</c:f>
              <c:strCache>
                <c:ptCount val="1"/>
                <c:pt idx="0">
                  <c:v>Human Space Flight</c:v>
                </c:pt>
              </c:strCache>
            </c:strRef>
          </c:tx>
          <c:spPr>
            <a:solidFill>
              <a:schemeClr val="accent1"/>
            </a:solidFill>
            <a:ln>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DTE_cost_per_minute_forecast!$C$151:$L$151</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2D2F-41FD-9109-9B5FB0DD8679}"/>
            </c:ext>
          </c:extLst>
        </c:ser>
        <c:ser>
          <c:idx val="1"/>
          <c:order val="1"/>
          <c:tx>
            <c:strRef>
              <c:f>DTE_cost_per_minute_forecast!$B$152</c:f>
              <c:strCache>
                <c:ptCount val="1"/>
                <c:pt idx="0">
                  <c:v>Near Earth Robotic - LEO Science</c:v>
                </c:pt>
              </c:strCache>
            </c:strRef>
          </c:tx>
          <c:spPr>
            <a:solidFill>
              <a:schemeClr val="accent2"/>
            </a:solidFill>
            <a:ln>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DTE_cost_per_minute_forecast!$C$152:$L$152</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2D2F-41FD-9109-9B5FB0DD8679}"/>
            </c:ext>
          </c:extLst>
        </c:ser>
        <c:ser>
          <c:idx val="2"/>
          <c:order val="2"/>
          <c:tx>
            <c:strRef>
              <c:f>DTE_cost_per_minute_forecast!$B$153</c:f>
              <c:strCache>
                <c:ptCount val="1"/>
                <c:pt idx="0">
                  <c:v>Near Earth Robotic - GEO and Near Earth</c:v>
                </c:pt>
              </c:strCache>
            </c:strRef>
          </c:tx>
          <c:spPr>
            <a:solidFill>
              <a:schemeClr val="accent3"/>
            </a:solidFill>
            <a:ln>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DTE_cost_per_minute_forecast!$C$153:$L$153</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2-2D2F-41FD-9109-9B5FB0DD8679}"/>
            </c:ext>
          </c:extLst>
        </c:ser>
        <c:ser>
          <c:idx val="3"/>
          <c:order val="3"/>
          <c:tx>
            <c:strRef>
              <c:f>DTE_cost_per_minute_forecast!$B$154</c:f>
              <c:strCache>
                <c:ptCount val="1"/>
                <c:pt idx="0">
                  <c:v>Deep Space Robotic</c:v>
                </c:pt>
              </c:strCache>
            </c:strRef>
          </c:tx>
          <c:spPr>
            <a:solidFill>
              <a:schemeClr val="accent4"/>
            </a:solidFill>
            <a:ln w="25400">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DTE_cost_per_minute_forecast!$C$154:$L$154</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2D2F-41FD-9109-9B5FB0DD8679}"/>
            </c:ext>
          </c:extLst>
        </c:ser>
        <c:ser>
          <c:idx val="4"/>
          <c:order val="4"/>
          <c:tx>
            <c:strRef>
              <c:f>DTE_cost_per_minute_forecast!$B$155</c:f>
              <c:strCache>
                <c:ptCount val="1"/>
                <c:pt idx="0">
                  <c:v>Near Earth Robotic - Low Latency &amp; Complex Needs</c:v>
                </c:pt>
              </c:strCache>
            </c:strRef>
          </c:tx>
          <c:spPr>
            <a:solidFill>
              <a:schemeClr val="accent5"/>
            </a:solidFill>
            <a:ln w="25400">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DTE_cost_per_minute_forecast!$C$155:$L$155</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2D2F-41FD-9109-9B5FB0DD8679}"/>
            </c:ext>
          </c:extLst>
        </c:ser>
        <c:ser>
          <c:idx val="5"/>
          <c:order val="5"/>
          <c:tx>
            <c:strRef>
              <c:f>DTE_cost_per_minute_forecast!$B$156</c:f>
              <c:strCache>
                <c:ptCount val="1"/>
                <c:pt idx="0">
                  <c:v>Mission Operations</c:v>
                </c:pt>
              </c:strCache>
            </c:strRef>
          </c:tx>
          <c:spPr>
            <a:solidFill>
              <a:schemeClr val="accent6"/>
            </a:solidFill>
            <a:ln w="25400">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DTE_cost_per_minute_forecast!$C$156:$L$156</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2D2F-41FD-9109-9B5FB0DD8679}"/>
            </c:ext>
          </c:extLst>
        </c:ser>
        <c:ser>
          <c:idx val="6"/>
          <c:order val="6"/>
          <c:tx>
            <c:strRef>
              <c:f>DTE_cost_per_minute_forecast!$B$157</c:f>
              <c:strCache>
                <c:ptCount val="1"/>
                <c:pt idx="0">
                  <c:v>Launch Events</c:v>
                </c:pt>
              </c:strCache>
            </c:strRef>
          </c:tx>
          <c:spPr>
            <a:solidFill>
              <a:schemeClr val="accent1">
                <a:lumMod val="60000"/>
              </a:schemeClr>
            </a:solidFill>
            <a:ln w="25400">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DTE_cost_per_minute_forecast!$C$157:$L$157</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6-2D2F-41FD-9109-9B5FB0DD8679}"/>
            </c:ext>
          </c:extLst>
        </c:ser>
        <c:ser>
          <c:idx val="7"/>
          <c:order val="7"/>
          <c:tx>
            <c:strRef>
              <c:f>DTE_cost_per_minute_forecast!$B$158</c:f>
              <c:strCache>
                <c:ptCount val="1"/>
                <c:pt idx="0">
                  <c:v>Terrestrial &amp; Aerial</c:v>
                </c:pt>
              </c:strCache>
            </c:strRef>
          </c:tx>
          <c:spPr>
            <a:solidFill>
              <a:schemeClr val="accent2">
                <a:lumMod val="60000"/>
              </a:schemeClr>
            </a:solidFill>
            <a:ln w="25400">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DTE_cost_per_minute_forecast!$C$158:$L$158</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7-2D2F-41FD-9109-9B5FB0DD8679}"/>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a:t>Total cost by use case (Low demand scenario) </a:t>
            </a:r>
            <a:r>
              <a:rPr lang="en-US" sz="1200" b="0" i="0" u="none" strike="noStrike" baseline="0">
                <a:effectLst/>
              </a:rPr>
              <a:t>(80% profit margin)</a:t>
            </a:r>
            <a:endParaRPr lang="en-US" sz="1200"/>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6580466952930259"/>
          <c:y val="0.18126685397946379"/>
          <c:w val="0.80223880721208529"/>
          <c:h val="0.48459830760805012"/>
        </c:manualLayout>
      </c:layout>
      <c:areaChart>
        <c:grouping val="stacked"/>
        <c:varyColors val="0"/>
        <c:ser>
          <c:idx val="0"/>
          <c:order val="0"/>
          <c:tx>
            <c:strRef>
              <c:f>DTE_cost_per_minute_forecast!$B$171</c:f>
              <c:strCache>
                <c:ptCount val="1"/>
                <c:pt idx="0">
                  <c:v>Human Space Flight</c:v>
                </c:pt>
              </c:strCache>
            </c:strRef>
          </c:tx>
          <c:spPr>
            <a:solidFill>
              <a:schemeClr val="accent1"/>
            </a:solidFill>
            <a:ln>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DTE_cost_per_minute_forecast!$C$171:$L$171</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7D2E-4DDA-B7A8-48C5F1233F1F}"/>
            </c:ext>
          </c:extLst>
        </c:ser>
        <c:ser>
          <c:idx val="1"/>
          <c:order val="1"/>
          <c:tx>
            <c:strRef>
              <c:f>DTE_cost_per_minute_forecast!$B$172</c:f>
              <c:strCache>
                <c:ptCount val="1"/>
                <c:pt idx="0">
                  <c:v>Near Earth Robotic - LEO Science</c:v>
                </c:pt>
              </c:strCache>
            </c:strRef>
          </c:tx>
          <c:spPr>
            <a:solidFill>
              <a:schemeClr val="accent2"/>
            </a:solidFill>
            <a:ln>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DTE_cost_per_minute_forecast!$C$172:$L$172</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7D2E-4DDA-B7A8-48C5F1233F1F}"/>
            </c:ext>
          </c:extLst>
        </c:ser>
        <c:ser>
          <c:idx val="2"/>
          <c:order val="2"/>
          <c:tx>
            <c:strRef>
              <c:f>DTE_cost_per_minute_forecast!$B$173</c:f>
              <c:strCache>
                <c:ptCount val="1"/>
                <c:pt idx="0">
                  <c:v>Near Earth Robotic - GEO and Near Earth</c:v>
                </c:pt>
              </c:strCache>
            </c:strRef>
          </c:tx>
          <c:spPr>
            <a:solidFill>
              <a:schemeClr val="accent3"/>
            </a:solidFill>
            <a:ln>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DTE_cost_per_minute_forecast!$C$173:$L$173</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2-7D2E-4DDA-B7A8-48C5F1233F1F}"/>
            </c:ext>
          </c:extLst>
        </c:ser>
        <c:ser>
          <c:idx val="3"/>
          <c:order val="3"/>
          <c:tx>
            <c:strRef>
              <c:f>DTE_cost_per_minute_forecast!$B$174</c:f>
              <c:strCache>
                <c:ptCount val="1"/>
                <c:pt idx="0">
                  <c:v>Deep Space Robotic</c:v>
                </c:pt>
              </c:strCache>
            </c:strRef>
          </c:tx>
          <c:spPr>
            <a:solidFill>
              <a:schemeClr val="accent4"/>
            </a:solidFill>
            <a:ln w="25400">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DTE_cost_per_minute_forecast!$C$174:$L$174</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7D2E-4DDA-B7A8-48C5F1233F1F}"/>
            </c:ext>
          </c:extLst>
        </c:ser>
        <c:ser>
          <c:idx val="4"/>
          <c:order val="4"/>
          <c:tx>
            <c:strRef>
              <c:f>DTE_cost_per_minute_forecast!$B$175</c:f>
              <c:strCache>
                <c:ptCount val="1"/>
                <c:pt idx="0">
                  <c:v>Near Earth Robotic - Low Latency &amp; Complex Needs</c:v>
                </c:pt>
              </c:strCache>
            </c:strRef>
          </c:tx>
          <c:spPr>
            <a:solidFill>
              <a:schemeClr val="accent5"/>
            </a:solidFill>
            <a:ln w="25400">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DTE_cost_per_minute_forecast!$C$175:$L$175</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7D2E-4DDA-B7A8-48C5F1233F1F}"/>
            </c:ext>
          </c:extLst>
        </c:ser>
        <c:ser>
          <c:idx val="5"/>
          <c:order val="5"/>
          <c:tx>
            <c:strRef>
              <c:f>DTE_cost_per_minute_forecast!$B$176</c:f>
              <c:strCache>
                <c:ptCount val="1"/>
                <c:pt idx="0">
                  <c:v>Mission Operations</c:v>
                </c:pt>
              </c:strCache>
            </c:strRef>
          </c:tx>
          <c:spPr>
            <a:solidFill>
              <a:schemeClr val="accent6"/>
            </a:solidFill>
            <a:ln w="25400">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DTE_cost_per_minute_forecast!$C$176:$L$176</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7D2E-4DDA-B7A8-48C5F1233F1F}"/>
            </c:ext>
          </c:extLst>
        </c:ser>
        <c:ser>
          <c:idx val="6"/>
          <c:order val="6"/>
          <c:tx>
            <c:strRef>
              <c:f>DTE_cost_per_minute_forecast!$B$177</c:f>
              <c:strCache>
                <c:ptCount val="1"/>
                <c:pt idx="0">
                  <c:v>Launch Events</c:v>
                </c:pt>
              </c:strCache>
            </c:strRef>
          </c:tx>
          <c:spPr>
            <a:solidFill>
              <a:schemeClr val="accent1">
                <a:lumMod val="60000"/>
              </a:schemeClr>
            </a:solidFill>
            <a:ln w="25400">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DTE_cost_per_minute_forecast!$C$177:$L$177</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6-7D2E-4DDA-B7A8-48C5F1233F1F}"/>
            </c:ext>
          </c:extLst>
        </c:ser>
        <c:ser>
          <c:idx val="7"/>
          <c:order val="7"/>
          <c:tx>
            <c:strRef>
              <c:f>DTE_cost_per_minute_forecast!$B$178</c:f>
              <c:strCache>
                <c:ptCount val="1"/>
                <c:pt idx="0">
                  <c:v>Terrestrial &amp; Aerial</c:v>
                </c:pt>
              </c:strCache>
            </c:strRef>
          </c:tx>
          <c:spPr>
            <a:solidFill>
              <a:schemeClr val="accent2">
                <a:lumMod val="60000"/>
              </a:schemeClr>
            </a:solidFill>
            <a:ln w="25400">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DTE_cost_per_minute_forecast!$C$178:$L$178</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7-7D2E-4DDA-B7A8-48C5F1233F1F}"/>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r"/>
      <c:layout>
        <c:manualLayout>
          <c:xMode val="edge"/>
          <c:yMode val="edge"/>
          <c:x val="4.4387242158854021E-2"/>
          <c:y val="0.77799516251514711"/>
          <c:w val="0.91285533192475909"/>
          <c:h val="0.1898369369539180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b="0" i="0" baseline="0">
                <a:effectLst/>
              </a:rPr>
              <a:t>Total cost by use case (Baseline demand scenario) </a:t>
            </a:r>
            <a:r>
              <a:rPr lang="en-US" sz="1200" b="0" i="0" u="none" strike="noStrike" baseline="0">
                <a:effectLst/>
              </a:rPr>
              <a:t>(80% profit margin)</a:t>
            </a:r>
            <a:endParaRPr lang="en-US" sz="1200">
              <a:effectLst/>
            </a:endParaRP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5591303187231501"/>
          <c:y val="0.14037169986104678"/>
          <c:w val="0.81213044486907282"/>
          <c:h val="0.57779952138335644"/>
        </c:manualLayout>
      </c:layout>
      <c:areaChart>
        <c:grouping val="stacked"/>
        <c:varyColors val="0"/>
        <c:ser>
          <c:idx val="0"/>
          <c:order val="0"/>
          <c:tx>
            <c:strRef>
              <c:f>DTE_cost_per_minute_forecast!$B$189</c:f>
              <c:strCache>
                <c:ptCount val="1"/>
                <c:pt idx="0">
                  <c:v>Human Space Flight</c:v>
                </c:pt>
              </c:strCache>
            </c:strRef>
          </c:tx>
          <c:spPr>
            <a:solidFill>
              <a:schemeClr val="accent1"/>
            </a:solidFill>
            <a:ln>
              <a:noFill/>
            </a:ln>
            <a:effectLst/>
          </c:spPr>
          <c:cat>
            <c:numRef>
              <c:f>DTE_cost_per_minute_forecast!$D$76:$M$76</c:f>
              <c:numCache>
                <c:formatCode>General</c:formatCode>
                <c:ptCount val="10"/>
                <c:pt idx="0">
                  <c:v>2022</c:v>
                </c:pt>
                <c:pt idx="1">
                  <c:v>2023</c:v>
                </c:pt>
                <c:pt idx="2">
                  <c:v>2024</c:v>
                </c:pt>
                <c:pt idx="3">
                  <c:v>2025</c:v>
                </c:pt>
                <c:pt idx="4">
                  <c:v>2026</c:v>
                </c:pt>
                <c:pt idx="5">
                  <c:v>2027</c:v>
                </c:pt>
                <c:pt idx="6">
                  <c:v>2028</c:v>
                </c:pt>
                <c:pt idx="7">
                  <c:v>2029</c:v>
                </c:pt>
                <c:pt idx="8">
                  <c:v>2030</c:v>
                </c:pt>
                <c:pt idx="9">
                  <c:v>2031</c:v>
                </c:pt>
              </c:numCache>
            </c:numRef>
          </c:cat>
          <c:val>
            <c:numRef>
              <c:f>DTE_cost_per_minute_forecast!$D$189:$M$189</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7D9B-4A2C-8AB1-4838F1FFD2D5}"/>
            </c:ext>
          </c:extLst>
        </c:ser>
        <c:ser>
          <c:idx val="1"/>
          <c:order val="1"/>
          <c:tx>
            <c:strRef>
              <c:f>DTE_cost_per_minute_forecast!$B$190</c:f>
              <c:strCache>
                <c:ptCount val="1"/>
                <c:pt idx="0">
                  <c:v>Near Earth Robotic - LEO Science</c:v>
                </c:pt>
              </c:strCache>
            </c:strRef>
          </c:tx>
          <c:spPr>
            <a:solidFill>
              <a:schemeClr val="accent2"/>
            </a:solidFill>
            <a:ln>
              <a:noFill/>
            </a:ln>
            <a:effectLst/>
          </c:spPr>
          <c:cat>
            <c:numRef>
              <c:f>DTE_cost_per_minute_forecast!$D$76:$M$76</c:f>
              <c:numCache>
                <c:formatCode>General</c:formatCode>
                <c:ptCount val="10"/>
                <c:pt idx="0">
                  <c:v>2022</c:v>
                </c:pt>
                <c:pt idx="1">
                  <c:v>2023</c:v>
                </c:pt>
                <c:pt idx="2">
                  <c:v>2024</c:v>
                </c:pt>
                <c:pt idx="3">
                  <c:v>2025</c:v>
                </c:pt>
                <c:pt idx="4">
                  <c:v>2026</c:v>
                </c:pt>
                <c:pt idx="5">
                  <c:v>2027</c:v>
                </c:pt>
                <c:pt idx="6">
                  <c:v>2028</c:v>
                </c:pt>
                <c:pt idx="7">
                  <c:v>2029</c:v>
                </c:pt>
                <c:pt idx="8">
                  <c:v>2030</c:v>
                </c:pt>
                <c:pt idx="9">
                  <c:v>2031</c:v>
                </c:pt>
              </c:numCache>
            </c:numRef>
          </c:cat>
          <c:val>
            <c:numRef>
              <c:f>DTE_cost_per_minute_forecast!$D$190:$M$190</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7D9B-4A2C-8AB1-4838F1FFD2D5}"/>
            </c:ext>
          </c:extLst>
        </c:ser>
        <c:ser>
          <c:idx val="2"/>
          <c:order val="2"/>
          <c:tx>
            <c:strRef>
              <c:f>DTE_cost_per_minute_forecast!$B$191</c:f>
              <c:strCache>
                <c:ptCount val="1"/>
                <c:pt idx="0">
                  <c:v>Near Earth Robotic - GEO and Near Earth</c:v>
                </c:pt>
              </c:strCache>
            </c:strRef>
          </c:tx>
          <c:spPr>
            <a:solidFill>
              <a:schemeClr val="accent3"/>
            </a:solidFill>
            <a:ln>
              <a:noFill/>
            </a:ln>
            <a:effectLst/>
          </c:spPr>
          <c:cat>
            <c:numRef>
              <c:f>DTE_cost_per_minute_forecast!$D$76:$M$76</c:f>
              <c:numCache>
                <c:formatCode>General</c:formatCode>
                <c:ptCount val="10"/>
                <c:pt idx="0">
                  <c:v>2022</c:v>
                </c:pt>
                <c:pt idx="1">
                  <c:v>2023</c:v>
                </c:pt>
                <c:pt idx="2">
                  <c:v>2024</c:v>
                </c:pt>
                <c:pt idx="3">
                  <c:v>2025</c:v>
                </c:pt>
                <c:pt idx="4">
                  <c:v>2026</c:v>
                </c:pt>
                <c:pt idx="5">
                  <c:v>2027</c:v>
                </c:pt>
                <c:pt idx="6">
                  <c:v>2028</c:v>
                </c:pt>
                <c:pt idx="7">
                  <c:v>2029</c:v>
                </c:pt>
                <c:pt idx="8">
                  <c:v>2030</c:v>
                </c:pt>
                <c:pt idx="9">
                  <c:v>2031</c:v>
                </c:pt>
              </c:numCache>
            </c:numRef>
          </c:cat>
          <c:val>
            <c:numRef>
              <c:f>DTE_cost_per_minute_forecast!$D$191:$M$191</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2-7D9B-4A2C-8AB1-4838F1FFD2D5}"/>
            </c:ext>
          </c:extLst>
        </c:ser>
        <c:ser>
          <c:idx val="3"/>
          <c:order val="3"/>
          <c:tx>
            <c:strRef>
              <c:f>DTE_cost_per_minute_forecast!$B$192</c:f>
              <c:strCache>
                <c:ptCount val="1"/>
                <c:pt idx="0">
                  <c:v>Deep Space Robotic</c:v>
                </c:pt>
              </c:strCache>
            </c:strRef>
          </c:tx>
          <c:spPr>
            <a:solidFill>
              <a:schemeClr val="accent4"/>
            </a:solidFill>
            <a:ln w="25400">
              <a:noFill/>
            </a:ln>
            <a:effectLst/>
          </c:spPr>
          <c:cat>
            <c:numRef>
              <c:f>DTE_cost_per_minute_forecast!$D$76:$M$76</c:f>
              <c:numCache>
                <c:formatCode>General</c:formatCode>
                <c:ptCount val="10"/>
                <c:pt idx="0">
                  <c:v>2022</c:v>
                </c:pt>
                <c:pt idx="1">
                  <c:v>2023</c:v>
                </c:pt>
                <c:pt idx="2">
                  <c:v>2024</c:v>
                </c:pt>
                <c:pt idx="3">
                  <c:v>2025</c:v>
                </c:pt>
                <c:pt idx="4">
                  <c:v>2026</c:v>
                </c:pt>
                <c:pt idx="5">
                  <c:v>2027</c:v>
                </c:pt>
                <c:pt idx="6">
                  <c:v>2028</c:v>
                </c:pt>
                <c:pt idx="7">
                  <c:v>2029</c:v>
                </c:pt>
                <c:pt idx="8">
                  <c:v>2030</c:v>
                </c:pt>
                <c:pt idx="9">
                  <c:v>2031</c:v>
                </c:pt>
              </c:numCache>
            </c:numRef>
          </c:cat>
          <c:val>
            <c:numRef>
              <c:f>DTE_cost_per_minute_forecast!$D$192:$M$192</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7D9B-4A2C-8AB1-4838F1FFD2D5}"/>
            </c:ext>
          </c:extLst>
        </c:ser>
        <c:ser>
          <c:idx val="4"/>
          <c:order val="4"/>
          <c:tx>
            <c:strRef>
              <c:f>DTE_cost_per_minute_forecast!$B$193</c:f>
              <c:strCache>
                <c:ptCount val="1"/>
                <c:pt idx="0">
                  <c:v>Near Earth Robotic - Low Latency &amp; Complex Needs</c:v>
                </c:pt>
              </c:strCache>
            </c:strRef>
          </c:tx>
          <c:spPr>
            <a:solidFill>
              <a:schemeClr val="accent5"/>
            </a:solidFill>
            <a:ln w="25400">
              <a:noFill/>
            </a:ln>
            <a:effectLst/>
          </c:spPr>
          <c:cat>
            <c:numRef>
              <c:f>DTE_cost_per_minute_forecast!$D$76:$M$76</c:f>
              <c:numCache>
                <c:formatCode>General</c:formatCode>
                <c:ptCount val="10"/>
                <c:pt idx="0">
                  <c:v>2022</c:v>
                </c:pt>
                <c:pt idx="1">
                  <c:v>2023</c:v>
                </c:pt>
                <c:pt idx="2">
                  <c:v>2024</c:v>
                </c:pt>
                <c:pt idx="3">
                  <c:v>2025</c:v>
                </c:pt>
                <c:pt idx="4">
                  <c:v>2026</c:v>
                </c:pt>
                <c:pt idx="5">
                  <c:v>2027</c:v>
                </c:pt>
                <c:pt idx="6">
                  <c:v>2028</c:v>
                </c:pt>
                <c:pt idx="7">
                  <c:v>2029</c:v>
                </c:pt>
                <c:pt idx="8">
                  <c:v>2030</c:v>
                </c:pt>
                <c:pt idx="9">
                  <c:v>2031</c:v>
                </c:pt>
              </c:numCache>
            </c:numRef>
          </c:cat>
          <c:val>
            <c:numRef>
              <c:f>DTE_cost_per_minute_forecast!$D$193:$M$193</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7D9B-4A2C-8AB1-4838F1FFD2D5}"/>
            </c:ext>
          </c:extLst>
        </c:ser>
        <c:ser>
          <c:idx val="5"/>
          <c:order val="5"/>
          <c:tx>
            <c:strRef>
              <c:f>DTE_cost_per_minute_forecast!$B$194</c:f>
              <c:strCache>
                <c:ptCount val="1"/>
                <c:pt idx="0">
                  <c:v>Mission Operations</c:v>
                </c:pt>
              </c:strCache>
            </c:strRef>
          </c:tx>
          <c:spPr>
            <a:solidFill>
              <a:schemeClr val="accent6"/>
            </a:solidFill>
            <a:ln w="25400">
              <a:noFill/>
            </a:ln>
            <a:effectLst/>
          </c:spPr>
          <c:cat>
            <c:numRef>
              <c:f>DTE_cost_per_minute_forecast!$D$76:$M$76</c:f>
              <c:numCache>
                <c:formatCode>General</c:formatCode>
                <c:ptCount val="10"/>
                <c:pt idx="0">
                  <c:v>2022</c:v>
                </c:pt>
                <c:pt idx="1">
                  <c:v>2023</c:v>
                </c:pt>
                <c:pt idx="2">
                  <c:v>2024</c:v>
                </c:pt>
                <c:pt idx="3">
                  <c:v>2025</c:v>
                </c:pt>
                <c:pt idx="4">
                  <c:v>2026</c:v>
                </c:pt>
                <c:pt idx="5">
                  <c:v>2027</c:v>
                </c:pt>
                <c:pt idx="6">
                  <c:v>2028</c:v>
                </c:pt>
                <c:pt idx="7">
                  <c:v>2029</c:v>
                </c:pt>
                <c:pt idx="8">
                  <c:v>2030</c:v>
                </c:pt>
                <c:pt idx="9">
                  <c:v>2031</c:v>
                </c:pt>
              </c:numCache>
            </c:numRef>
          </c:cat>
          <c:val>
            <c:numRef>
              <c:f>DTE_cost_per_minute_forecast!$D$194:$M$194</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7D9B-4A2C-8AB1-4838F1FFD2D5}"/>
            </c:ext>
          </c:extLst>
        </c:ser>
        <c:ser>
          <c:idx val="6"/>
          <c:order val="6"/>
          <c:tx>
            <c:strRef>
              <c:f>DTE_cost_per_minute_forecast!$B$195</c:f>
              <c:strCache>
                <c:ptCount val="1"/>
                <c:pt idx="0">
                  <c:v>Launch Events</c:v>
                </c:pt>
              </c:strCache>
            </c:strRef>
          </c:tx>
          <c:spPr>
            <a:solidFill>
              <a:schemeClr val="accent1">
                <a:lumMod val="60000"/>
              </a:schemeClr>
            </a:solidFill>
            <a:ln w="25400">
              <a:noFill/>
            </a:ln>
            <a:effectLst/>
          </c:spPr>
          <c:cat>
            <c:numRef>
              <c:f>DTE_cost_per_minute_forecast!$D$76:$M$76</c:f>
              <c:numCache>
                <c:formatCode>General</c:formatCode>
                <c:ptCount val="10"/>
                <c:pt idx="0">
                  <c:v>2022</c:v>
                </c:pt>
                <c:pt idx="1">
                  <c:v>2023</c:v>
                </c:pt>
                <c:pt idx="2">
                  <c:v>2024</c:v>
                </c:pt>
                <c:pt idx="3">
                  <c:v>2025</c:v>
                </c:pt>
                <c:pt idx="4">
                  <c:v>2026</c:v>
                </c:pt>
                <c:pt idx="5">
                  <c:v>2027</c:v>
                </c:pt>
                <c:pt idx="6">
                  <c:v>2028</c:v>
                </c:pt>
                <c:pt idx="7">
                  <c:v>2029</c:v>
                </c:pt>
                <c:pt idx="8">
                  <c:v>2030</c:v>
                </c:pt>
                <c:pt idx="9">
                  <c:v>2031</c:v>
                </c:pt>
              </c:numCache>
            </c:numRef>
          </c:cat>
          <c:val>
            <c:numRef>
              <c:f>DTE_cost_per_minute_forecast!$D$195:$M$195</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6-7D9B-4A2C-8AB1-4838F1FFD2D5}"/>
            </c:ext>
          </c:extLst>
        </c:ser>
        <c:ser>
          <c:idx val="7"/>
          <c:order val="7"/>
          <c:tx>
            <c:strRef>
              <c:f>DTE_cost_per_minute_forecast!$B$196</c:f>
              <c:strCache>
                <c:ptCount val="1"/>
                <c:pt idx="0">
                  <c:v>Terrestrial &amp; Aerial</c:v>
                </c:pt>
              </c:strCache>
            </c:strRef>
          </c:tx>
          <c:spPr>
            <a:solidFill>
              <a:schemeClr val="accent2">
                <a:lumMod val="60000"/>
              </a:schemeClr>
            </a:solidFill>
            <a:ln w="25400">
              <a:noFill/>
            </a:ln>
            <a:effectLst/>
          </c:spPr>
          <c:cat>
            <c:numRef>
              <c:f>DTE_cost_per_minute_forecast!$D$76:$M$76</c:f>
              <c:numCache>
                <c:formatCode>General</c:formatCode>
                <c:ptCount val="10"/>
                <c:pt idx="0">
                  <c:v>2022</c:v>
                </c:pt>
                <c:pt idx="1">
                  <c:v>2023</c:v>
                </c:pt>
                <c:pt idx="2">
                  <c:v>2024</c:v>
                </c:pt>
                <c:pt idx="3">
                  <c:v>2025</c:v>
                </c:pt>
                <c:pt idx="4">
                  <c:v>2026</c:v>
                </c:pt>
                <c:pt idx="5">
                  <c:v>2027</c:v>
                </c:pt>
                <c:pt idx="6">
                  <c:v>2028</c:v>
                </c:pt>
                <c:pt idx="7">
                  <c:v>2029</c:v>
                </c:pt>
                <c:pt idx="8">
                  <c:v>2030</c:v>
                </c:pt>
                <c:pt idx="9">
                  <c:v>2031</c:v>
                </c:pt>
              </c:numCache>
            </c:numRef>
          </c:cat>
          <c:val>
            <c:numRef>
              <c:f>DTE_cost_per_minute_forecast!$D$196:$M$196</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7-7D9B-4A2C-8AB1-4838F1FFD2D5}"/>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b="0" i="0" baseline="0">
                <a:effectLst/>
              </a:rPr>
              <a:t>Total cost by use case (High demand scenario) </a:t>
            </a:r>
            <a:r>
              <a:rPr lang="en-US" sz="1200" b="0" i="0" u="none" strike="noStrike" baseline="0">
                <a:effectLst/>
              </a:rPr>
              <a:t>(80% profit margin)</a:t>
            </a:r>
            <a:endParaRPr lang="en-US" sz="1200">
              <a:effectLst/>
            </a:endParaRP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6648066522503069"/>
          <c:y val="0.13755100539470003"/>
          <c:w val="0.80156281151635722"/>
          <c:h val="0.56663816329744165"/>
        </c:manualLayout>
      </c:layout>
      <c:areaChart>
        <c:grouping val="stacked"/>
        <c:varyColors val="0"/>
        <c:ser>
          <c:idx val="0"/>
          <c:order val="0"/>
          <c:tx>
            <c:strRef>
              <c:f>DTE_cost_per_minute_forecast!$B$207</c:f>
              <c:strCache>
                <c:ptCount val="1"/>
                <c:pt idx="0">
                  <c:v>Human Space Flight</c:v>
                </c:pt>
              </c:strCache>
            </c:strRef>
          </c:tx>
          <c:spPr>
            <a:solidFill>
              <a:schemeClr val="accent1"/>
            </a:solidFill>
            <a:ln>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DTE_cost_per_minute_forecast!$C$207:$L$207</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4EB1-4494-9883-8DB42BCF31F5}"/>
            </c:ext>
          </c:extLst>
        </c:ser>
        <c:ser>
          <c:idx val="1"/>
          <c:order val="1"/>
          <c:tx>
            <c:strRef>
              <c:f>DTE_cost_per_minute_forecast!$B$208</c:f>
              <c:strCache>
                <c:ptCount val="1"/>
                <c:pt idx="0">
                  <c:v>Near Earth Robotic - LEO Science</c:v>
                </c:pt>
              </c:strCache>
            </c:strRef>
          </c:tx>
          <c:spPr>
            <a:solidFill>
              <a:schemeClr val="accent2"/>
            </a:solidFill>
            <a:ln>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DTE_cost_per_minute_forecast!$C$208:$L$208</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4EB1-4494-9883-8DB42BCF31F5}"/>
            </c:ext>
          </c:extLst>
        </c:ser>
        <c:ser>
          <c:idx val="2"/>
          <c:order val="2"/>
          <c:tx>
            <c:strRef>
              <c:f>DTE_cost_per_minute_forecast!$B$209</c:f>
              <c:strCache>
                <c:ptCount val="1"/>
                <c:pt idx="0">
                  <c:v>Near Earth Robotic - GEO and Near Earth</c:v>
                </c:pt>
              </c:strCache>
            </c:strRef>
          </c:tx>
          <c:spPr>
            <a:solidFill>
              <a:schemeClr val="accent3"/>
            </a:solidFill>
            <a:ln>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DTE_cost_per_minute_forecast!$C$209:$L$209</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2-4EB1-4494-9883-8DB42BCF31F5}"/>
            </c:ext>
          </c:extLst>
        </c:ser>
        <c:ser>
          <c:idx val="3"/>
          <c:order val="3"/>
          <c:tx>
            <c:strRef>
              <c:f>DTE_cost_per_minute_forecast!$B$210</c:f>
              <c:strCache>
                <c:ptCount val="1"/>
                <c:pt idx="0">
                  <c:v>Deep Space Robotic</c:v>
                </c:pt>
              </c:strCache>
            </c:strRef>
          </c:tx>
          <c:spPr>
            <a:solidFill>
              <a:schemeClr val="accent4"/>
            </a:solidFill>
            <a:ln w="25400">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DTE_cost_per_minute_forecast!$C$210:$L$210</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4EB1-4494-9883-8DB42BCF31F5}"/>
            </c:ext>
          </c:extLst>
        </c:ser>
        <c:ser>
          <c:idx val="4"/>
          <c:order val="4"/>
          <c:tx>
            <c:strRef>
              <c:f>DTE_cost_per_minute_forecast!$B$211</c:f>
              <c:strCache>
                <c:ptCount val="1"/>
                <c:pt idx="0">
                  <c:v>Near Earth Robotic - Low Latency &amp; Complex Needs</c:v>
                </c:pt>
              </c:strCache>
            </c:strRef>
          </c:tx>
          <c:spPr>
            <a:solidFill>
              <a:schemeClr val="accent5"/>
            </a:solidFill>
            <a:ln w="25400">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DTE_cost_per_minute_forecast!$C$211:$L$211</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4EB1-4494-9883-8DB42BCF31F5}"/>
            </c:ext>
          </c:extLst>
        </c:ser>
        <c:ser>
          <c:idx val="5"/>
          <c:order val="5"/>
          <c:tx>
            <c:strRef>
              <c:f>DTE_cost_per_minute_forecast!$B$212</c:f>
              <c:strCache>
                <c:ptCount val="1"/>
                <c:pt idx="0">
                  <c:v>Mission Operations</c:v>
                </c:pt>
              </c:strCache>
            </c:strRef>
          </c:tx>
          <c:spPr>
            <a:solidFill>
              <a:schemeClr val="accent6"/>
            </a:solidFill>
            <a:ln w="25400">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DTE_cost_per_minute_forecast!$C$212:$L$212</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4EB1-4494-9883-8DB42BCF31F5}"/>
            </c:ext>
          </c:extLst>
        </c:ser>
        <c:ser>
          <c:idx val="6"/>
          <c:order val="6"/>
          <c:tx>
            <c:strRef>
              <c:f>DTE_cost_per_minute_forecast!$B$213</c:f>
              <c:strCache>
                <c:ptCount val="1"/>
                <c:pt idx="0">
                  <c:v>Launch Events</c:v>
                </c:pt>
              </c:strCache>
            </c:strRef>
          </c:tx>
          <c:spPr>
            <a:solidFill>
              <a:schemeClr val="accent1">
                <a:lumMod val="60000"/>
              </a:schemeClr>
            </a:solidFill>
            <a:ln w="25400">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DTE_cost_per_minute_forecast!$C$213:$L$213</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6-4EB1-4494-9883-8DB42BCF31F5}"/>
            </c:ext>
          </c:extLst>
        </c:ser>
        <c:ser>
          <c:idx val="7"/>
          <c:order val="7"/>
          <c:tx>
            <c:strRef>
              <c:f>DTE_cost_per_minute_forecast!$B$214</c:f>
              <c:strCache>
                <c:ptCount val="1"/>
                <c:pt idx="0">
                  <c:v>Terrestrial &amp; Aerial</c:v>
                </c:pt>
              </c:strCache>
            </c:strRef>
          </c:tx>
          <c:spPr>
            <a:solidFill>
              <a:schemeClr val="accent2">
                <a:lumMod val="60000"/>
              </a:schemeClr>
            </a:solidFill>
            <a:ln w="25400">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DTE_cost_per_minute_forecast!$C$214:$L$214</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7-4EB1-4494-9883-8DB42BCF31F5}"/>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a:t>Total cost by use case (Low demand scenario) </a:t>
            </a:r>
            <a:r>
              <a:rPr lang="en-US" sz="1200" b="0" i="0" u="none" strike="noStrike" baseline="0">
                <a:effectLst/>
              </a:rPr>
              <a:t>(20% profit margin)</a:t>
            </a:r>
            <a:endParaRPr lang="en-US" sz="1200"/>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6580466952930259"/>
          <c:y val="0.18126685397946379"/>
          <c:w val="0.80223880721208529"/>
          <c:h val="0.48459830760805012"/>
        </c:manualLayout>
      </c:layout>
      <c:areaChart>
        <c:grouping val="stacked"/>
        <c:varyColors val="0"/>
        <c:ser>
          <c:idx val="0"/>
          <c:order val="0"/>
          <c:tx>
            <c:strRef>
              <c:f>SR_cost_per_minute_forecast!$B$3</c:f>
              <c:strCache>
                <c:ptCount val="1"/>
                <c:pt idx="0">
                  <c:v>Human Space Flight</c:v>
                </c:pt>
              </c:strCache>
            </c:strRef>
          </c:tx>
          <c:spPr>
            <a:solidFill>
              <a:schemeClr val="accent1"/>
            </a:solidFill>
            <a:ln>
              <a:noFill/>
            </a:ln>
            <a:effectLst/>
          </c:spPr>
          <c:cat>
            <c:numRef>
              <c:f>SR_cost_per_minute_forecast!$C$2:$L$2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SR_cost_per_minute_forecast!$C$3:$L$3</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8C23-4269-B36B-24071BB89BE5}"/>
            </c:ext>
          </c:extLst>
        </c:ser>
        <c:ser>
          <c:idx val="1"/>
          <c:order val="1"/>
          <c:tx>
            <c:strRef>
              <c:f>SR_cost_per_minute_forecast!$B$4</c:f>
              <c:strCache>
                <c:ptCount val="1"/>
                <c:pt idx="0">
                  <c:v>Near Earth Robotic - LEO Science</c:v>
                </c:pt>
              </c:strCache>
            </c:strRef>
          </c:tx>
          <c:spPr>
            <a:solidFill>
              <a:schemeClr val="accent2"/>
            </a:solidFill>
            <a:ln>
              <a:noFill/>
            </a:ln>
            <a:effectLst/>
          </c:spPr>
          <c:cat>
            <c:numRef>
              <c:f>SR_cost_per_minute_forecast!$C$2:$L$2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SR_cost_per_minute_forecast!$C$4:$L$4</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8C23-4269-B36B-24071BB89BE5}"/>
            </c:ext>
          </c:extLst>
        </c:ser>
        <c:ser>
          <c:idx val="2"/>
          <c:order val="2"/>
          <c:tx>
            <c:strRef>
              <c:f>SR_cost_per_minute_forecast!$B$5</c:f>
              <c:strCache>
                <c:ptCount val="1"/>
                <c:pt idx="0">
                  <c:v>Near Earth Robotic - GEO and Near Earth</c:v>
                </c:pt>
              </c:strCache>
            </c:strRef>
          </c:tx>
          <c:spPr>
            <a:solidFill>
              <a:schemeClr val="accent3"/>
            </a:solidFill>
            <a:ln>
              <a:noFill/>
            </a:ln>
            <a:effectLst/>
          </c:spPr>
          <c:cat>
            <c:numRef>
              <c:f>SR_cost_per_minute_forecast!$C$2:$L$2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SR_cost_per_minute_forecast!$C$5:$L$5</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2-8C23-4269-B36B-24071BB89BE5}"/>
            </c:ext>
          </c:extLst>
        </c:ser>
        <c:ser>
          <c:idx val="3"/>
          <c:order val="3"/>
          <c:tx>
            <c:strRef>
              <c:f>SR_cost_per_minute_forecast!$B$6</c:f>
              <c:strCache>
                <c:ptCount val="1"/>
                <c:pt idx="0">
                  <c:v>Deep Space Robotic</c:v>
                </c:pt>
              </c:strCache>
            </c:strRef>
          </c:tx>
          <c:spPr>
            <a:solidFill>
              <a:schemeClr val="accent4"/>
            </a:solidFill>
            <a:ln w="25400">
              <a:noFill/>
            </a:ln>
            <a:effectLst/>
          </c:spPr>
          <c:cat>
            <c:numRef>
              <c:f>SR_cost_per_minute_forecast!$C$2:$L$2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SR_cost_per_minute_forecast!$C$6:$L$6</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8C23-4269-B36B-24071BB89BE5}"/>
            </c:ext>
          </c:extLst>
        </c:ser>
        <c:ser>
          <c:idx val="4"/>
          <c:order val="4"/>
          <c:tx>
            <c:strRef>
              <c:f>SR_cost_per_minute_forecast!$B$7</c:f>
              <c:strCache>
                <c:ptCount val="1"/>
                <c:pt idx="0">
                  <c:v>Near Earth Robotic - Low Latency &amp; Complex Needs</c:v>
                </c:pt>
              </c:strCache>
            </c:strRef>
          </c:tx>
          <c:spPr>
            <a:solidFill>
              <a:schemeClr val="accent5"/>
            </a:solidFill>
            <a:ln w="25400">
              <a:noFill/>
            </a:ln>
            <a:effectLst/>
          </c:spPr>
          <c:cat>
            <c:numRef>
              <c:f>SR_cost_per_minute_forecast!$C$2:$L$2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SR_cost_per_minute_forecast!$C$7:$L$7</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8C23-4269-B36B-24071BB89BE5}"/>
            </c:ext>
          </c:extLst>
        </c:ser>
        <c:ser>
          <c:idx val="5"/>
          <c:order val="5"/>
          <c:tx>
            <c:strRef>
              <c:f>SR_cost_per_minute_forecast!$B$8</c:f>
              <c:strCache>
                <c:ptCount val="1"/>
                <c:pt idx="0">
                  <c:v>Mission Operations</c:v>
                </c:pt>
              </c:strCache>
            </c:strRef>
          </c:tx>
          <c:spPr>
            <a:solidFill>
              <a:schemeClr val="accent6"/>
            </a:solidFill>
            <a:ln w="25400">
              <a:noFill/>
            </a:ln>
            <a:effectLst/>
          </c:spPr>
          <c:cat>
            <c:numRef>
              <c:f>SR_cost_per_minute_forecast!$C$2:$L$2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SR_cost_per_minute_forecast!$C$8:$L$8</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8C23-4269-B36B-24071BB89BE5}"/>
            </c:ext>
          </c:extLst>
        </c:ser>
        <c:ser>
          <c:idx val="6"/>
          <c:order val="6"/>
          <c:tx>
            <c:strRef>
              <c:f>SR_cost_per_minute_forecast!$B$9</c:f>
              <c:strCache>
                <c:ptCount val="1"/>
                <c:pt idx="0">
                  <c:v>Launch Events</c:v>
                </c:pt>
              </c:strCache>
            </c:strRef>
          </c:tx>
          <c:spPr>
            <a:solidFill>
              <a:schemeClr val="accent1">
                <a:lumMod val="60000"/>
              </a:schemeClr>
            </a:solidFill>
            <a:ln w="25400">
              <a:noFill/>
            </a:ln>
            <a:effectLst/>
          </c:spPr>
          <c:cat>
            <c:numRef>
              <c:f>SR_cost_per_minute_forecast!$C$2:$L$2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SR_cost_per_minute_forecast!$C$9:$L$9</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6-8C23-4269-B36B-24071BB89BE5}"/>
            </c:ext>
          </c:extLst>
        </c:ser>
        <c:ser>
          <c:idx val="7"/>
          <c:order val="7"/>
          <c:tx>
            <c:strRef>
              <c:f>SR_cost_per_minute_forecast!$B$10</c:f>
              <c:strCache>
                <c:ptCount val="1"/>
                <c:pt idx="0">
                  <c:v>Terrestrial &amp; Aerial</c:v>
                </c:pt>
              </c:strCache>
            </c:strRef>
          </c:tx>
          <c:spPr>
            <a:solidFill>
              <a:schemeClr val="accent2">
                <a:lumMod val="60000"/>
              </a:schemeClr>
            </a:solidFill>
            <a:ln w="25400">
              <a:noFill/>
            </a:ln>
            <a:effectLst/>
          </c:spPr>
          <c:cat>
            <c:numRef>
              <c:f>SR_cost_per_minute_forecast!$C$2:$L$2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SR_cost_per_minute_forecast!$C$10:$L$10</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7-8C23-4269-B36B-24071BB89BE5}"/>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r"/>
      <c:layout>
        <c:manualLayout>
          <c:xMode val="edge"/>
          <c:yMode val="edge"/>
          <c:x val="4.4387242158854021E-2"/>
          <c:y val="0.77799516251514711"/>
          <c:w val="0.91285533192475909"/>
          <c:h val="0.1898369369539180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b="0" i="0" baseline="0">
                <a:effectLst/>
              </a:rPr>
              <a:t>Total cost by use case (Baseline demand scenario) </a:t>
            </a:r>
            <a:r>
              <a:rPr lang="en-US" sz="1200" b="0" i="0" u="none" strike="noStrike" baseline="0">
                <a:effectLst/>
              </a:rPr>
              <a:t>(20% profit margin)</a:t>
            </a:r>
            <a:endParaRPr lang="en-US" sz="1200">
              <a:effectLst/>
            </a:endParaRP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5591303187231501"/>
          <c:y val="0.14037169986104678"/>
          <c:w val="0.81213044486907282"/>
          <c:h val="0.54532445340563085"/>
        </c:manualLayout>
      </c:layout>
      <c:areaChart>
        <c:grouping val="stacked"/>
        <c:varyColors val="0"/>
        <c:ser>
          <c:idx val="0"/>
          <c:order val="0"/>
          <c:tx>
            <c:strRef>
              <c:f>SR_cost_per_minute_forecast!$B$21</c:f>
              <c:strCache>
                <c:ptCount val="1"/>
                <c:pt idx="0">
                  <c:v>Human Space Flight</c:v>
                </c:pt>
              </c:strCache>
            </c:strRef>
          </c:tx>
          <c:spPr>
            <a:solidFill>
              <a:schemeClr val="accent1"/>
            </a:solidFill>
            <a:ln>
              <a:noFill/>
            </a:ln>
            <a:effectLst/>
          </c:spPr>
          <c:cat>
            <c:numRef>
              <c:f>SR_cost_per_minute_forecast!$C$20:$L$20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SR_cost_per_minute_forecast!$C$21:$L$21</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8097-45B9-A21E-8048D9F1732C}"/>
            </c:ext>
          </c:extLst>
        </c:ser>
        <c:ser>
          <c:idx val="1"/>
          <c:order val="1"/>
          <c:tx>
            <c:strRef>
              <c:f>SR_cost_per_minute_forecast!$B$22</c:f>
              <c:strCache>
                <c:ptCount val="1"/>
                <c:pt idx="0">
                  <c:v>Near Earth Robotic - LEO Science</c:v>
                </c:pt>
              </c:strCache>
            </c:strRef>
          </c:tx>
          <c:spPr>
            <a:solidFill>
              <a:schemeClr val="accent2"/>
            </a:solidFill>
            <a:ln>
              <a:noFill/>
            </a:ln>
            <a:effectLst/>
          </c:spPr>
          <c:cat>
            <c:numRef>
              <c:f>SR_cost_per_minute_forecast!$C$20:$L$20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SR_cost_per_minute_forecast!$C$22:$L$22</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8097-45B9-A21E-8048D9F1732C}"/>
            </c:ext>
          </c:extLst>
        </c:ser>
        <c:ser>
          <c:idx val="2"/>
          <c:order val="2"/>
          <c:tx>
            <c:strRef>
              <c:f>SR_cost_per_minute_forecast!$B$23</c:f>
              <c:strCache>
                <c:ptCount val="1"/>
                <c:pt idx="0">
                  <c:v>Near Earth Robotic - GEO and Near Earth</c:v>
                </c:pt>
              </c:strCache>
            </c:strRef>
          </c:tx>
          <c:spPr>
            <a:solidFill>
              <a:schemeClr val="accent3"/>
            </a:solidFill>
            <a:ln>
              <a:noFill/>
            </a:ln>
            <a:effectLst/>
          </c:spPr>
          <c:cat>
            <c:numRef>
              <c:f>SR_cost_per_minute_forecast!$C$20:$L$20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SR_cost_per_minute_forecast!$C$23:$L$23</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2-8097-45B9-A21E-8048D9F1732C}"/>
            </c:ext>
          </c:extLst>
        </c:ser>
        <c:ser>
          <c:idx val="3"/>
          <c:order val="3"/>
          <c:tx>
            <c:strRef>
              <c:f>SR_cost_per_minute_forecast!$B$24</c:f>
              <c:strCache>
                <c:ptCount val="1"/>
                <c:pt idx="0">
                  <c:v>Deep Space Robotic</c:v>
                </c:pt>
              </c:strCache>
            </c:strRef>
          </c:tx>
          <c:spPr>
            <a:solidFill>
              <a:schemeClr val="accent4"/>
            </a:solidFill>
            <a:ln w="25400">
              <a:noFill/>
            </a:ln>
            <a:effectLst/>
          </c:spPr>
          <c:cat>
            <c:numRef>
              <c:f>SR_cost_per_minute_forecast!$C$20:$L$20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SR_cost_per_minute_forecast!$C$24:$L$24</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8097-45B9-A21E-8048D9F1732C}"/>
            </c:ext>
          </c:extLst>
        </c:ser>
        <c:ser>
          <c:idx val="4"/>
          <c:order val="4"/>
          <c:tx>
            <c:strRef>
              <c:f>SR_cost_per_minute_forecast!$B$25</c:f>
              <c:strCache>
                <c:ptCount val="1"/>
                <c:pt idx="0">
                  <c:v>Near Earth Robotic - Low Latency &amp; Complex Needs</c:v>
                </c:pt>
              </c:strCache>
            </c:strRef>
          </c:tx>
          <c:spPr>
            <a:solidFill>
              <a:schemeClr val="accent5"/>
            </a:solidFill>
            <a:ln w="25400">
              <a:noFill/>
            </a:ln>
            <a:effectLst/>
          </c:spPr>
          <c:cat>
            <c:numRef>
              <c:f>SR_cost_per_minute_forecast!$C$20:$L$20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SR_cost_per_minute_forecast!$C$25:$L$25</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8097-45B9-A21E-8048D9F1732C}"/>
            </c:ext>
          </c:extLst>
        </c:ser>
        <c:ser>
          <c:idx val="5"/>
          <c:order val="5"/>
          <c:tx>
            <c:strRef>
              <c:f>SR_cost_per_minute_forecast!$B$26</c:f>
              <c:strCache>
                <c:ptCount val="1"/>
                <c:pt idx="0">
                  <c:v>Mission Operations</c:v>
                </c:pt>
              </c:strCache>
            </c:strRef>
          </c:tx>
          <c:spPr>
            <a:solidFill>
              <a:schemeClr val="accent6"/>
            </a:solidFill>
            <a:ln w="25400">
              <a:noFill/>
            </a:ln>
            <a:effectLst/>
          </c:spPr>
          <c:cat>
            <c:numRef>
              <c:f>SR_cost_per_minute_forecast!$C$20:$L$20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SR_cost_per_minute_forecast!$C$26:$L$26</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8097-45B9-A21E-8048D9F1732C}"/>
            </c:ext>
          </c:extLst>
        </c:ser>
        <c:ser>
          <c:idx val="6"/>
          <c:order val="6"/>
          <c:tx>
            <c:strRef>
              <c:f>SR_cost_per_minute_forecast!$B$27</c:f>
              <c:strCache>
                <c:ptCount val="1"/>
                <c:pt idx="0">
                  <c:v>Launch Events</c:v>
                </c:pt>
              </c:strCache>
            </c:strRef>
          </c:tx>
          <c:spPr>
            <a:solidFill>
              <a:schemeClr val="accent1">
                <a:lumMod val="60000"/>
              </a:schemeClr>
            </a:solidFill>
            <a:ln w="25400">
              <a:noFill/>
            </a:ln>
            <a:effectLst/>
          </c:spPr>
          <c:cat>
            <c:numRef>
              <c:f>SR_cost_per_minute_forecast!$C$20:$L$20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SR_cost_per_minute_forecast!$C$27:$L$27</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6-8097-45B9-A21E-8048D9F1732C}"/>
            </c:ext>
          </c:extLst>
        </c:ser>
        <c:ser>
          <c:idx val="7"/>
          <c:order val="7"/>
          <c:tx>
            <c:strRef>
              <c:f>SR_cost_per_minute_forecast!$B$28</c:f>
              <c:strCache>
                <c:ptCount val="1"/>
                <c:pt idx="0">
                  <c:v>Terrestrial &amp; Aerial</c:v>
                </c:pt>
              </c:strCache>
            </c:strRef>
          </c:tx>
          <c:spPr>
            <a:solidFill>
              <a:schemeClr val="accent2">
                <a:lumMod val="60000"/>
              </a:schemeClr>
            </a:solidFill>
            <a:ln w="25400">
              <a:noFill/>
            </a:ln>
            <a:effectLst/>
          </c:spPr>
          <c:cat>
            <c:numRef>
              <c:f>SR_cost_per_minute_forecast!$C$20:$L$20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SR_cost_per_minute_forecast!$C$28:$L$28</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7-8097-45B9-A21E-8048D9F1732C}"/>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b="0" i="0" baseline="0">
                <a:effectLst/>
              </a:rPr>
              <a:t>Total cost by use case (High demand scenario) </a:t>
            </a:r>
            <a:r>
              <a:rPr lang="en-US" sz="1200" b="0" i="0" u="none" strike="noStrike" baseline="0">
                <a:effectLst/>
              </a:rPr>
              <a:t>(20% profit margin)</a:t>
            </a:r>
            <a:endParaRPr lang="en-US" sz="1200">
              <a:effectLst/>
            </a:endParaRP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6648066522503069"/>
          <c:y val="0.13755100539470003"/>
          <c:w val="0.80156281151635722"/>
          <c:h val="0.56663816329744165"/>
        </c:manualLayout>
      </c:layout>
      <c:areaChart>
        <c:grouping val="stacked"/>
        <c:varyColors val="0"/>
        <c:ser>
          <c:idx val="0"/>
          <c:order val="0"/>
          <c:tx>
            <c:strRef>
              <c:f>SR_cost_per_minute_forecast!$B$39</c:f>
              <c:strCache>
                <c:ptCount val="1"/>
                <c:pt idx="0">
                  <c:v>Human Space Flight</c:v>
                </c:pt>
              </c:strCache>
            </c:strRef>
          </c:tx>
          <c:spPr>
            <a:solidFill>
              <a:schemeClr val="accent1"/>
            </a:solidFill>
            <a:ln>
              <a:noFill/>
            </a:ln>
            <a:effectLst/>
          </c:spPr>
          <c:cat>
            <c:numRef>
              <c:f>SR_cost_per_minute_forecast!$C$38:$L$38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SR_cost_per_minute_forecast!$C$39:$L$39</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191F-48B7-A5AC-8C2D8131F408}"/>
            </c:ext>
          </c:extLst>
        </c:ser>
        <c:ser>
          <c:idx val="1"/>
          <c:order val="1"/>
          <c:tx>
            <c:strRef>
              <c:f>SR_cost_per_minute_forecast!$B$40</c:f>
              <c:strCache>
                <c:ptCount val="1"/>
                <c:pt idx="0">
                  <c:v>Near Earth Robotic - LEO Science</c:v>
                </c:pt>
              </c:strCache>
            </c:strRef>
          </c:tx>
          <c:spPr>
            <a:solidFill>
              <a:schemeClr val="accent2"/>
            </a:solidFill>
            <a:ln>
              <a:noFill/>
            </a:ln>
            <a:effectLst/>
          </c:spPr>
          <c:cat>
            <c:numRef>
              <c:f>SR_cost_per_minute_forecast!$C$38:$L$38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SR_cost_per_minute_forecast!$C$40:$L$40</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191F-48B7-A5AC-8C2D8131F408}"/>
            </c:ext>
          </c:extLst>
        </c:ser>
        <c:ser>
          <c:idx val="2"/>
          <c:order val="2"/>
          <c:tx>
            <c:strRef>
              <c:f>SR_cost_per_minute_forecast!$B$41</c:f>
              <c:strCache>
                <c:ptCount val="1"/>
                <c:pt idx="0">
                  <c:v>Near Earth Robotic - GEO and Near Earth</c:v>
                </c:pt>
              </c:strCache>
            </c:strRef>
          </c:tx>
          <c:spPr>
            <a:solidFill>
              <a:schemeClr val="accent3"/>
            </a:solidFill>
            <a:ln>
              <a:noFill/>
            </a:ln>
            <a:effectLst/>
          </c:spPr>
          <c:cat>
            <c:numRef>
              <c:f>SR_cost_per_minute_forecast!$C$38:$L$38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SR_cost_per_minute_forecast!$C$41:$L$41</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2-191F-48B7-A5AC-8C2D8131F408}"/>
            </c:ext>
          </c:extLst>
        </c:ser>
        <c:ser>
          <c:idx val="3"/>
          <c:order val="3"/>
          <c:tx>
            <c:strRef>
              <c:f>SR_cost_per_minute_forecast!$B$42</c:f>
              <c:strCache>
                <c:ptCount val="1"/>
                <c:pt idx="0">
                  <c:v>Deep Space Robotic</c:v>
                </c:pt>
              </c:strCache>
            </c:strRef>
          </c:tx>
          <c:spPr>
            <a:solidFill>
              <a:schemeClr val="accent4"/>
            </a:solidFill>
            <a:ln w="25400">
              <a:noFill/>
            </a:ln>
            <a:effectLst/>
          </c:spPr>
          <c:cat>
            <c:numRef>
              <c:f>SR_cost_per_minute_forecast!$C$38:$L$38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SR_cost_per_minute_forecast!$C$42:$L$42</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191F-48B7-A5AC-8C2D8131F408}"/>
            </c:ext>
          </c:extLst>
        </c:ser>
        <c:ser>
          <c:idx val="4"/>
          <c:order val="4"/>
          <c:tx>
            <c:strRef>
              <c:f>SR_cost_per_minute_forecast!$B$43</c:f>
              <c:strCache>
                <c:ptCount val="1"/>
                <c:pt idx="0">
                  <c:v>Near Earth Robotic - Low Latency &amp; Complex Needs</c:v>
                </c:pt>
              </c:strCache>
            </c:strRef>
          </c:tx>
          <c:spPr>
            <a:solidFill>
              <a:schemeClr val="accent5"/>
            </a:solidFill>
            <a:ln w="25400">
              <a:noFill/>
            </a:ln>
            <a:effectLst/>
          </c:spPr>
          <c:cat>
            <c:numRef>
              <c:f>SR_cost_per_minute_forecast!$C$38:$L$38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SR_cost_per_minute_forecast!$C$43:$L$43</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191F-48B7-A5AC-8C2D8131F408}"/>
            </c:ext>
          </c:extLst>
        </c:ser>
        <c:ser>
          <c:idx val="5"/>
          <c:order val="5"/>
          <c:tx>
            <c:strRef>
              <c:f>SR_cost_per_minute_forecast!$B$44</c:f>
              <c:strCache>
                <c:ptCount val="1"/>
                <c:pt idx="0">
                  <c:v>Mission Operations</c:v>
                </c:pt>
              </c:strCache>
            </c:strRef>
          </c:tx>
          <c:spPr>
            <a:solidFill>
              <a:schemeClr val="accent6"/>
            </a:solidFill>
            <a:ln w="25400">
              <a:noFill/>
            </a:ln>
            <a:effectLst/>
          </c:spPr>
          <c:cat>
            <c:numRef>
              <c:f>SR_cost_per_minute_forecast!$C$38:$L$38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SR_cost_per_minute_forecast!$C$44:$L$44</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191F-48B7-A5AC-8C2D8131F408}"/>
            </c:ext>
          </c:extLst>
        </c:ser>
        <c:ser>
          <c:idx val="6"/>
          <c:order val="6"/>
          <c:tx>
            <c:strRef>
              <c:f>SR_cost_per_minute_forecast!$B$45</c:f>
              <c:strCache>
                <c:ptCount val="1"/>
                <c:pt idx="0">
                  <c:v>Launch Events</c:v>
                </c:pt>
              </c:strCache>
            </c:strRef>
          </c:tx>
          <c:spPr>
            <a:solidFill>
              <a:schemeClr val="accent1">
                <a:lumMod val="60000"/>
              </a:schemeClr>
            </a:solidFill>
            <a:ln w="25400">
              <a:noFill/>
            </a:ln>
            <a:effectLst/>
          </c:spPr>
          <c:cat>
            <c:numRef>
              <c:f>SR_cost_per_minute_forecast!$C$38:$L$38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SR_cost_per_minute_forecast!$C$45:$L$45</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6-191F-48B7-A5AC-8C2D8131F408}"/>
            </c:ext>
          </c:extLst>
        </c:ser>
        <c:ser>
          <c:idx val="7"/>
          <c:order val="7"/>
          <c:tx>
            <c:strRef>
              <c:f>SR_cost_per_minute_forecast!$B$46</c:f>
              <c:strCache>
                <c:ptCount val="1"/>
                <c:pt idx="0">
                  <c:v>Terrestrial &amp; Aerial</c:v>
                </c:pt>
              </c:strCache>
            </c:strRef>
          </c:tx>
          <c:spPr>
            <a:solidFill>
              <a:schemeClr val="accent2">
                <a:lumMod val="60000"/>
              </a:schemeClr>
            </a:solidFill>
            <a:ln w="25400">
              <a:noFill/>
            </a:ln>
            <a:effectLst/>
          </c:spPr>
          <c:cat>
            <c:numRef>
              <c:f>SR_cost_per_minute_forecast!$C$38:$L$38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SR_cost_per_minute_forecast!$C$46:$L$46</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7-191F-48B7-A5AC-8C2D8131F408}"/>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a:t>Total cost by use case (Low demand scenario) </a:t>
            </a:r>
            <a:r>
              <a:rPr lang="en-US" sz="1200" b="0" i="0" u="none" strike="noStrike" baseline="0">
                <a:effectLst/>
              </a:rPr>
              <a:t>(40% profit margin)</a:t>
            </a:r>
            <a:endParaRPr lang="en-US" sz="1200"/>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6580466952930259"/>
          <c:y val="0.18126685397946379"/>
          <c:w val="0.80223880721208529"/>
          <c:h val="0.48459830760805012"/>
        </c:manualLayout>
      </c:layout>
      <c:areaChart>
        <c:grouping val="stacked"/>
        <c:varyColors val="0"/>
        <c:ser>
          <c:idx val="0"/>
          <c:order val="0"/>
          <c:tx>
            <c:strRef>
              <c:f>SR_cost_per_minute_forecast!$B$59</c:f>
              <c:strCache>
                <c:ptCount val="1"/>
                <c:pt idx="0">
                  <c:v>Human Space Flight</c:v>
                </c:pt>
              </c:strCache>
            </c:strRef>
          </c:tx>
          <c:spPr>
            <a:solidFill>
              <a:schemeClr val="accent1"/>
            </a:solidFill>
            <a:ln>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SR_cost_per_minute_forecast!$C$59:$L$59</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F8E5-41E2-A834-8AD717F037AC}"/>
            </c:ext>
          </c:extLst>
        </c:ser>
        <c:ser>
          <c:idx val="1"/>
          <c:order val="1"/>
          <c:tx>
            <c:strRef>
              <c:f>SR_cost_per_minute_forecast!$B$60</c:f>
              <c:strCache>
                <c:ptCount val="1"/>
                <c:pt idx="0">
                  <c:v>Near Earth Robotic - LEO Science</c:v>
                </c:pt>
              </c:strCache>
            </c:strRef>
          </c:tx>
          <c:spPr>
            <a:solidFill>
              <a:schemeClr val="accent2"/>
            </a:solidFill>
            <a:ln>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SR_cost_per_minute_forecast!$C$60:$L$60</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F8E5-41E2-A834-8AD717F037AC}"/>
            </c:ext>
          </c:extLst>
        </c:ser>
        <c:ser>
          <c:idx val="2"/>
          <c:order val="2"/>
          <c:tx>
            <c:strRef>
              <c:f>SR_cost_per_minute_forecast!$B$61</c:f>
              <c:strCache>
                <c:ptCount val="1"/>
                <c:pt idx="0">
                  <c:v>Near Earth Robotic - GEO and Near Earth</c:v>
                </c:pt>
              </c:strCache>
            </c:strRef>
          </c:tx>
          <c:spPr>
            <a:solidFill>
              <a:schemeClr val="accent3"/>
            </a:solidFill>
            <a:ln>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SR_cost_per_minute_forecast!$C$61:$L$61</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2-F8E5-41E2-A834-8AD717F037AC}"/>
            </c:ext>
          </c:extLst>
        </c:ser>
        <c:ser>
          <c:idx val="3"/>
          <c:order val="3"/>
          <c:tx>
            <c:strRef>
              <c:f>SR_cost_per_minute_forecast!$B$62</c:f>
              <c:strCache>
                <c:ptCount val="1"/>
                <c:pt idx="0">
                  <c:v>Deep Space Robotic</c:v>
                </c:pt>
              </c:strCache>
            </c:strRef>
          </c:tx>
          <c:spPr>
            <a:solidFill>
              <a:schemeClr val="accent4"/>
            </a:solidFill>
            <a:ln w="25400">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SR_cost_per_minute_forecast!$C$62:$L$62</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F8E5-41E2-A834-8AD717F037AC}"/>
            </c:ext>
          </c:extLst>
        </c:ser>
        <c:ser>
          <c:idx val="4"/>
          <c:order val="4"/>
          <c:tx>
            <c:strRef>
              <c:f>SR_cost_per_minute_forecast!$B$63</c:f>
              <c:strCache>
                <c:ptCount val="1"/>
                <c:pt idx="0">
                  <c:v>Near Earth Robotic - Low Latency &amp; Complex Needs</c:v>
                </c:pt>
              </c:strCache>
            </c:strRef>
          </c:tx>
          <c:spPr>
            <a:solidFill>
              <a:schemeClr val="accent5"/>
            </a:solidFill>
            <a:ln w="25400">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SR_cost_per_minute_forecast!$C$63:$L$63</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F8E5-41E2-A834-8AD717F037AC}"/>
            </c:ext>
          </c:extLst>
        </c:ser>
        <c:ser>
          <c:idx val="5"/>
          <c:order val="5"/>
          <c:tx>
            <c:strRef>
              <c:f>SR_cost_per_minute_forecast!$B$64</c:f>
              <c:strCache>
                <c:ptCount val="1"/>
                <c:pt idx="0">
                  <c:v>Mission Operations</c:v>
                </c:pt>
              </c:strCache>
            </c:strRef>
          </c:tx>
          <c:spPr>
            <a:solidFill>
              <a:schemeClr val="accent6"/>
            </a:solidFill>
            <a:ln w="25400">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SR_cost_per_minute_forecast!$C$64:$L$64</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F8E5-41E2-A834-8AD717F037AC}"/>
            </c:ext>
          </c:extLst>
        </c:ser>
        <c:ser>
          <c:idx val="6"/>
          <c:order val="6"/>
          <c:tx>
            <c:strRef>
              <c:f>SR_cost_per_minute_forecast!$B$65</c:f>
              <c:strCache>
                <c:ptCount val="1"/>
                <c:pt idx="0">
                  <c:v>Launch Events</c:v>
                </c:pt>
              </c:strCache>
            </c:strRef>
          </c:tx>
          <c:spPr>
            <a:solidFill>
              <a:schemeClr val="accent1">
                <a:lumMod val="60000"/>
              </a:schemeClr>
            </a:solidFill>
            <a:ln w="25400">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SR_cost_per_minute_forecast!$C$65:$L$65</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6-F8E5-41E2-A834-8AD717F037AC}"/>
            </c:ext>
          </c:extLst>
        </c:ser>
        <c:ser>
          <c:idx val="7"/>
          <c:order val="7"/>
          <c:tx>
            <c:strRef>
              <c:f>SR_cost_per_minute_forecast!$B$66</c:f>
              <c:strCache>
                <c:ptCount val="1"/>
                <c:pt idx="0">
                  <c:v>Terrestrial &amp; Aerial</c:v>
                </c:pt>
              </c:strCache>
            </c:strRef>
          </c:tx>
          <c:spPr>
            <a:solidFill>
              <a:schemeClr val="accent2">
                <a:lumMod val="60000"/>
              </a:schemeClr>
            </a:solidFill>
            <a:ln w="25400">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SR_cost_per_minute_forecast!$C$66:$L$66</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7-F8E5-41E2-A834-8AD717F037AC}"/>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r"/>
      <c:layout>
        <c:manualLayout>
          <c:xMode val="edge"/>
          <c:yMode val="edge"/>
          <c:x val="4.4387242158854021E-2"/>
          <c:y val="0.77799516251514711"/>
          <c:w val="0.91285533192475909"/>
          <c:h val="0.1898369369539180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200" b="0" i="0" u="none" strike="noStrike" kern="1200" spc="0" baseline="0">
                <a:solidFill>
                  <a:sysClr val="windowText" lastClr="000000">
                    <a:lumMod val="65000"/>
                    <a:lumOff val="35000"/>
                  </a:sysClr>
                </a:solidFill>
                <a:latin typeface="+mn-lt"/>
                <a:ea typeface="+mn-ea"/>
                <a:cs typeface="+mn-cs"/>
              </a:defRPr>
            </a:pPr>
            <a:r>
              <a:rPr lang="en-US" sz="1200" b="0" i="0" baseline="0">
                <a:effectLst/>
              </a:rPr>
              <a:t>Total cost by use case (Baseline demand </a:t>
            </a:r>
            <a:r>
              <a:rPr lang="en-US" sz="1200" b="0" i="0" u="none" strike="noStrike" kern="1200" spc="0" baseline="0">
                <a:solidFill>
                  <a:sysClr val="windowText" lastClr="000000">
                    <a:lumMod val="65000"/>
                    <a:lumOff val="35000"/>
                  </a:sysClr>
                </a:solidFill>
                <a:effectLst/>
                <a:latin typeface="+mn-lt"/>
                <a:ea typeface="+mn-ea"/>
                <a:cs typeface="+mn-cs"/>
              </a:rPr>
              <a:t>scenario) (40% profit margin)</a:t>
            </a:r>
            <a:r>
              <a:rPr lang="en-US" sz="1200" b="0" i="0" baseline="0">
                <a:effectLst/>
              </a:rPr>
              <a:t> </a:t>
            </a:r>
            <a:endParaRPr lang="en-US" sz="1200">
              <a:effectLst/>
            </a:endParaRP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2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lotArea>
      <c:layout>
        <c:manualLayout>
          <c:layoutTarget val="inner"/>
          <c:xMode val="edge"/>
          <c:yMode val="edge"/>
          <c:x val="0.15591303187231501"/>
          <c:y val="0.14037169986104678"/>
          <c:w val="0.81213044486907282"/>
          <c:h val="0.57779952138335644"/>
        </c:manualLayout>
      </c:layout>
      <c:areaChart>
        <c:grouping val="stacked"/>
        <c:varyColors val="0"/>
        <c:ser>
          <c:idx val="0"/>
          <c:order val="0"/>
          <c:tx>
            <c:strRef>
              <c:f>SR_cost_per_minute_forecast!$B$77</c:f>
              <c:strCache>
                <c:ptCount val="1"/>
                <c:pt idx="0">
                  <c:v>Human Space Flight</c:v>
                </c:pt>
              </c:strCache>
            </c:strRef>
          </c:tx>
          <c:spPr>
            <a:solidFill>
              <a:schemeClr val="accent1"/>
            </a:solidFill>
            <a:ln>
              <a:noFill/>
            </a:ln>
            <a:effectLst/>
          </c:spPr>
          <c:cat>
            <c:numRef>
              <c:f>SR_cost_per_minute_forecast!$C$76:$L$76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SR_cost_per_minute_forecast!$C$77:$L$77</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3872-49CC-B700-4537783BB6C5}"/>
            </c:ext>
          </c:extLst>
        </c:ser>
        <c:ser>
          <c:idx val="1"/>
          <c:order val="1"/>
          <c:tx>
            <c:strRef>
              <c:f>SR_cost_per_minute_forecast!$B$78</c:f>
              <c:strCache>
                <c:ptCount val="1"/>
                <c:pt idx="0">
                  <c:v>Near Earth Robotic - LEO Science</c:v>
                </c:pt>
              </c:strCache>
            </c:strRef>
          </c:tx>
          <c:spPr>
            <a:solidFill>
              <a:schemeClr val="accent2"/>
            </a:solidFill>
            <a:ln>
              <a:noFill/>
            </a:ln>
            <a:effectLst/>
          </c:spPr>
          <c:cat>
            <c:numRef>
              <c:f>SR_cost_per_minute_forecast!$C$76:$L$76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SR_cost_per_minute_forecast!$C$78:$L$78</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3872-49CC-B700-4537783BB6C5}"/>
            </c:ext>
          </c:extLst>
        </c:ser>
        <c:ser>
          <c:idx val="2"/>
          <c:order val="2"/>
          <c:tx>
            <c:strRef>
              <c:f>SR_cost_per_minute_forecast!$B$79</c:f>
              <c:strCache>
                <c:ptCount val="1"/>
                <c:pt idx="0">
                  <c:v>Near Earth Robotic - GEO and Near Earth</c:v>
                </c:pt>
              </c:strCache>
            </c:strRef>
          </c:tx>
          <c:spPr>
            <a:solidFill>
              <a:schemeClr val="accent3"/>
            </a:solidFill>
            <a:ln>
              <a:noFill/>
            </a:ln>
            <a:effectLst/>
          </c:spPr>
          <c:cat>
            <c:numRef>
              <c:f>SR_cost_per_minute_forecast!$C$76:$L$76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SR_cost_per_minute_forecast!$C$79:$L$79</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2-3872-49CC-B700-4537783BB6C5}"/>
            </c:ext>
          </c:extLst>
        </c:ser>
        <c:ser>
          <c:idx val="3"/>
          <c:order val="3"/>
          <c:tx>
            <c:strRef>
              <c:f>SR_cost_per_minute_forecast!$B$80</c:f>
              <c:strCache>
                <c:ptCount val="1"/>
                <c:pt idx="0">
                  <c:v>Deep Space Robotic</c:v>
                </c:pt>
              </c:strCache>
            </c:strRef>
          </c:tx>
          <c:spPr>
            <a:solidFill>
              <a:schemeClr val="accent4"/>
            </a:solidFill>
            <a:ln w="25400">
              <a:noFill/>
            </a:ln>
            <a:effectLst/>
          </c:spPr>
          <c:cat>
            <c:numRef>
              <c:f>SR_cost_per_minute_forecast!$C$76:$L$76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SR_cost_per_minute_forecast!$C$80:$L$80</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3872-49CC-B700-4537783BB6C5}"/>
            </c:ext>
          </c:extLst>
        </c:ser>
        <c:ser>
          <c:idx val="4"/>
          <c:order val="4"/>
          <c:tx>
            <c:strRef>
              <c:f>SR_cost_per_minute_forecast!$B$81</c:f>
              <c:strCache>
                <c:ptCount val="1"/>
                <c:pt idx="0">
                  <c:v>Near Earth Robotic - Low Latency &amp; Complex Needs</c:v>
                </c:pt>
              </c:strCache>
            </c:strRef>
          </c:tx>
          <c:spPr>
            <a:solidFill>
              <a:schemeClr val="accent5"/>
            </a:solidFill>
            <a:ln w="25400">
              <a:noFill/>
            </a:ln>
            <a:effectLst/>
          </c:spPr>
          <c:cat>
            <c:numRef>
              <c:f>SR_cost_per_minute_forecast!$C$76:$L$76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SR_cost_per_minute_forecast!$C$81:$L$81</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3872-49CC-B700-4537783BB6C5}"/>
            </c:ext>
          </c:extLst>
        </c:ser>
        <c:ser>
          <c:idx val="5"/>
          <c:order val="5"/>
          <c:tx>
            <c:strRef>
              <c:f>SR_cost_per_minute_forecast!$B$82</c:f>
              <c:strCache>
                <c:ptCount val="1"/>
                <c:pt idx="0">
                  <c:v>Mission Operations</c:v>
                </c:pt>
              </c:strCache>
            </c:strRef>
          </c:tx>
          <c:spPr>
            <a:solidFill>
              <a:schemeClr val="accent6"/>
            </a:solidFill>
            <a:ln w="25400">
              <a:noFill/>
            </a:ln>
            <a:effectLst/>
          </c:spPr>
          <c:cat>
            <c:numRef>
              <c:f>SR_cost_per_minute_forecast!$C$76:$L$76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SR_cost_per_minute_forecast!$C$82:$L$82</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3872-49CC-B700-4537783BB6C5}"/>
            </c:ext>
          </c:extLst>
        </c:ser>
        <c:ser>
          <c:idx val="6"/>
          <c:order val="6"/>
          <c:tx>
            <c:strRef>
              <c:f>SR_cost_per_minute_forecast!$B$83</c:f>
              <c:strCache>
                <c:ptCount val="1"/>
                <c:pt idx="0">
                  <c:v>Launch Events</c:v>
                </c:pt>
              </c:strCache>
            </c:strRef>
          </c:tx>
          <c:spPr>
            <a:solidFill>
              <a:schemeClr val="accent1">
                <a:lumMod val="60000"/>
              </a:schemeClr>
            </a:solidFill>
            <a:ln w="25400">
              <a:noFill/>
            </a:ln>
            <a:effectLst/>
          </c:spPr>
          <c:cat>
            <c:numRef>
              <c:f>SR_cost_per_minute_forecast!$C$76:$L$76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SR_cost_per_minute_forecast!$C$83:$L$83</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6-3872-49CC-B700-4537783BB6C5}"/>
            </c:ext>
          </c:extLst>
        </c:ser>
        <c:ser>
          <c:idx val="7"/>
          <c:order val="7"/>
          <c:tx>
            <c:strRef>
              <c:f>SR_cost_per_minute_forecast!$B$84</c:f>
              <c:strCache>
                <c:ptCount val="1"/>
                <c:pt idx="0">
                  <c:v>Terrestrial &amp; Aerial</c:v>
                </c:pt>
              </c:strCache>
            </c:strRef>
          </c:tx>
          <c:spPr>
            <a:solidFill>
              <a:schemeClr val="accent2">
                <a:lumMod val="60000"/>
              </a:schemeClr>
            </a:solidFill>
            <a:ln w="25400">
              <a:noFill/>
            </a:ln>
            <a:effectLst/>
          </c:spPr>
          <c:cat>
            <c:numRef>
              <c:f>SR_cost_per_minute_forecast!$C$76:$L$76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SR_cost_per_minute_forecast!$C$84:$L$84</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7-3872-49CC-B700-4537783BB6C5}"/>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b="0" i="0" baseline="0">
                <a:effectLst/>
              </a:rPr>
              <a:t>Total cost by use case (High demand scenario)</a:t>
            </a:r>
            <a:r>
              <a:rPr lang="en-US" sz="1200" b="0" i="0" u="none" strike="noStrike" baseline="0">
                <a:effectLst/>
              </a:rPr>
              <a:t> (40% profit margin) </a:t>
            </a:r>
            <a:endParaRPr lang="en-US" sz="1200">
              <a:effectLst/>
            </a:endParaRP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6648066522503069"/>
          <c:y val="0.13755100539470003"/>
          <c:w val="0.80156281151635722"/>
          <c:h val="0.56663816329744165"/>
        </c:manualLayout>
      </c:layout>
      <c:areaChart>
        <c:grouping val="stacked"/>
        <c:varyColors val="0"/>
        <c:ser>
          <c:idx val="0"/>
          <c:order val="0"/>
          <c:tx>
            <c:strRef>
              <c:f>SR_cost_per_minute_forecast!$B$95</c:f>
              <c:strCache>
                <c:ptCount val="1"/>
                <c:pt idx="0">
                  <c:v>Human Space Flight</c:v>
                </c:pt>
              </c:strCache>
            </c:strRef>
          </c:tx>
          <c:spPr>
            <a:solidFill>
              <a:schemeClr val="accent1"/>
            </a:solidFill>
            <a:ln>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SR_cost_per_minute_forecast!$C$95:$L$95</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A452-4826-A3E9-999FA93FA8F8}"/>
            </c:ext>
          </c:extLst>
        </c:ser>
        <c:ser>
          <c:idx val="1"/>
          <c:order val="1"/>
          <c:tx>
            <c:strRef>
              <c:f>SR_cost_per_minute_forecast!$B$96</c:f>
              <c:strCache>
                <c:ptCount val="1"/>
                <c:pt idx="0">
                  <c:v>Near Earth Robotic - LEO Science</c:v>
                </c:pt>
              </c:strCache>
            </c:strRef>
          </c:tx>
          <c:spPr>
            <a:solidFill>
              <a:schemeClr val="accent2"/>
            </a:solidFill>
            <a:ln>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SR_cost_per_minute_forecast!$C$96:$L$96</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A452-4826-A3E9-999FA93FA8F8}"/>
            </c:ext>
          </c:extLst>
        </c:ser>
        <c:ser>
          <c:idx val="2"/>
          <c:order val="2"/>
          <c:tx>
            <c:strRef>
              <c:f>SR_cost_per_minute_forecast!$B$97</c:f>
              <c:strCache>
                <c:ptCount val="1"/>
                <c:pt idx="0">
                  <c:v>Near Earth Robotic - GEO and Near Earth</c:v>
                </c:pt>
              </c:strCache>
            </c:strRef>
          </c:tx>
          <c:spPr>
            <a:solidFill>
              <a:schemeClr val="accent3"/>
            </a:solidFill>
            <a:ln>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SR_cost_per_minute_forecast!$C$97:$L$97</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2-A452-4826-A3E9-999FA93FA8F8}"/>
            </c:ext>
          </c:extLst>
        </c:ser>
        <c:ser>
          <c:idx val="3"/>
          <c:order val="3"/>
          <c:tx>
            <c:strRef>
              <c:f>SR_cost_per_minute_forecast!$B$98</c:f>
              <c:strCache>
                <c:ptCount val="1"/>
                <c:pt idx="0">
                  <c:v>Deep Space Robotic</c:v>
                </c:pt>
              </c:strCache>
            </c:strRef>
          </c:tx>
          <c:spPr>
            <a:solidFill>
              <a:schemeClr val="accent4"/>
            </a:solidFill>
            <a:ln w="25400">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SR_cost_per_minute_forecast!$C$98:$L$98</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A452-4826-A3E9-999FA93FA8F8}"/>
            </c:ext>
          </c:extLst>
        </c:ser>
        <c:ser>
          <c:idx val="4"/>
          <c:order val="4"/>
          <c:tx>
            <c:strRef>
              <c:f>SR_cost_per_minute_forecast!$B$99</c:f>
              <c:strCache>
                <c:ptCount val="1"/>
                <c:pt idx="0">
                  <c:v>Near Earth Robotic - Low Latency &amp; Complex Needs</c:v>
                </c:pt>
              </c:strCache>
            </c:strRef>
          </c:tx>
          <c:spPr>
            <a:solidFill>
              <a:schemeClr val="accent5"/>
            </a:solidFill>
            <a:ln w="25400">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SR_cost_per_minute_forecast!$C$99:$L$99</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A452-4826-A3E9-999FA93FA8F8}"/>
            </c:ext>
          </c:extLst>
        </c:ser>
        <c:ser>
          <c:idx val="5"/>
          <c:order val="5"/>
          <c:tx>
            <c:strRef>
              <c:f>SR_cost_per_minute_forecast!$B$100</c:f>
              <c:strCache>
                <c:ptCount val="1"/>
                <c:pt idx="0">
                  <c:v>Mission Operations</c:v>
                </c:pt>
              </c:strCache>
            </c:strRef>
          </c:tx>
          <c:spPr>
            <a:solidFill>
              <a:schemeClr val="accent6"/>
            </a:solidFill>
            <a:ln w="25400">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SR_cost_per_minute_forecast!$C$100:$L$100</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A452-4826-A3E9-999FA93FA8F8}"/>
            </c:ext>
          </c:extLst>
        </c:ser>
        <c:ser>
          <c:idx val="6"/>
          <c:order val="6"/>
          <c:tx>
            <c:strRef>
              <c:f>SR_cost_per_minute_forecast!$B$101</c:f>
              <c:strCache>
                <c:ptCount val="1"/>
                <c:pt idx="0">
                  <c:v>Launch Events</c:v>
                </c:pt>
              </c:strCache>
            </c:strRef>
          </c:tx>
          <c:spPr>
            <a:solidFill>
              <a:schemeClr val="accent1">
                <a:lumMod val="60000"/>
              </a:schemeClr>
            </a:solidFill>
            <a:ln w="25400">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SR_cost_per_minute_forecast!$C$101:$L$101</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6-A452-4826-A3E9-999FA93FA8F8}"/>
            </c:ext>
          </c:extLst>
        </c:ser>
        <c:ser>
          <c:idx val="7"/>
          <c:order val="7"/>
          <c:tx>
            <c:strRef>
              <c:f>SR_cost_per_minute_forecast!$B$102</c:f>
              <c:strCache>
                <c:ptCount val="1"/>
                <c:pt idx="0">
                  <c:v>Terrestrial &amp; Aerial</c:v>
                </c:pt>
              </c:strCache>
            </c:strRef>
          </c:tx>
          <c:spPr>
            <a:solidFill>
              <a:schemeClr val="accent2">
                <a:lumMod val="60000"/>
              </a:schemeClr>
            </a:solidFill>
            <a:ln w="25400">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SR_cost_per_minute_forecast!$C$102:$L$102</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7-A452-4826-A3E9-999FA93FA8F8}"/>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a:t>Total cost by use case (Low demand scenario) </a:t>
            </a:r>
            <a:r>
              <a:rPr lang="en-US" sz="1200" b="0" i="0" u="none" strike="noStrike" baseline="0">
                <a:effectLst/>
              </a:rPr>
              <a:t>) (60% profit margin) </a:t>
            </a:r>
            <a:endParaRPr lang="en-US" sz="1200"/>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6580466952930259"/>
          <c:y val="0.18126685397946379"/>
          <c:w val="0.80223880721208529"/>
          <c:h val="0.48459830760805012"/>
        </c:manualLayout>
      </c:layout>
      <c:areaChart>
        <c:grouping val="stacked"/>
        <c:varyColors val="0"/>
        <c:ser>
          <c:idx val="0"/>
          <c:order val="0"/>
          <c:tx>
            <c:strRef>
              <c:f>SR_cost_per_minute_forecast!$B$115</c:f>
              <c:strCache>
                <c:ptCount val="1"/>
                <c:pt idx="0">
                  <c:v>Human Space Flight</c:v>
                </c:pt>
              </c:strCache>
            </c:strRef>
          </c:tx>
          <c:spPr>
            <a:solidFill>
              <a:schemeClr val="accent1"/>
            </a:solidFill>
            <a:ln>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SR_cost_per_minute_forecast!$C$115:$L$115</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AE2B-4778-AF9D-D5CFF7D39912}"/>
            </c:ext>
          </c:extLst>
        </c:ser>
        <c:ser>
          <c:idx val="1"/>
          <c:order val="1"/>
          <c:tx>
            <c:strRef>
              <c:f>SR_cost_per_minute_forecast!$B$116</c:f>
              <c:strCache>
                <c:ptCount val="1"/>
                <c:pt idx="0">
                  <c:v>Near Earth Robotic - LEO Science</c:v>
                </c:pt>
              </c:strCache>
            </c:strRef>
          </c:tx>
          <c:spPr>
            <a:solidFill>
              <a:schemeClr val="accent2"/>
            </a:solidFill>
            <a:ln>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SR_cost_per_minute_forecast!$C$116:$L$116</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AE2B-4778-AF9D-D5CFF7D39912}"/>
            </c:ext>
          </c:extLst>
        </c:ser>
        <c:ser>
          <c:idx val="2"/>
          <c:order val="2"/>
          <c:tx>
            <c:strRef>
              <c:f>SR_cost_per_minute_forecast!$B$117</c:f>
              <c:strCache>
                <c:ptCount val="1"/>
                <c:pt idx="0">
                  <c:v>Near Earth Robotic - GEO and Near Earth</c:v>
                </c:pt>
              </c:strCache>
            </c:strRef>
          </c:tx>
          <c:spPr>
            <a:solidFill>
              <a:schemeClr val="accent3"/>
            </a:solidFill>
            <a:ln>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SR_cost_per_minute_forecast!$C$117:$L$117</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2-AE2B-4778-AF9D-D5CFF7D39912}"/>
            </c:ext>
          </c:extLst>
        </c:ser>
        <c:ser>
          <c:idx val="3"/>
          <c:order val="3"/>
          <c:tx>
            <c:strRef>
              <c:f>SR_cost_per_minute_forecast!$B$118</c:f>
              <c:strCache>
                <c:ptCount val="1"/>
                <c:pt idx="0">
                  <c:v>Deep Space Robotic</c:v>
                </c:pt>
              </c:strCache>
            </c:strRef>
          </c:tx>
          <c:spPr>
            <a:solidFill>
              <a:schemeClr val="accent4"/>
            </a:solidFill>
            <a:ln w="25400">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SR_cost_per_minute_forecast!$C$118:$L$118</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AE2B-4778-AF9D-D5CFF7D39912}"/>
            </c:ext>
          </c:extLst>
        </c:ser>
        <c:ser>
          <c:idx val="4"/>
          <c:order val="4"/>
          <c:tx>
            <c:strRef>
              <c:f>SR_cost_per_minute_forecast!$B$119</c:f>
              <c:strCache>
                <c:ptCount val="1"/>
                <c:pt idx="0">
                  <c:v>Near Earth Robotic - Low Latency &amp; Complex Needs</c:v>
                </c:pt>
              </c:strCache>
            </c:strRef>
          </c:tx>
          <c:spPr>
            <a:solidFill>
              <a:schemeClr val="accent5"/>
            </a:solidFill>
            <a:ln w="25400">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SR_cost_per_minute_forecast!$C$119:$L$119</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AE2B-4778-AF9D-D5CFF7D39912}"/>
            </c:ext>
          </c:extLst>
        </c:ser>
        <c:ser>
          <c:idx val="5"/>
          <c:order val="5"/>
          <c:tx>
            <c:strRef>
              <c:f>SR_cost_per_minute_forecast!$B$120</c:f>
              <c:strCache>
                <c:ptCount val="1"/>
                <c:pt idx="0">
                  <c:v>Mission Operations</c:v>
                </c:pt>
              </c:strCache>
            </c:strRef>
          </c:tx>
          <c:spPr>
            <a:solidFill>
              <a:schemeClr val="accent6"/>
            </a:solidFill>
            <a:ln w="25400">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SR_cost_per_minute_forecast!$C$120:$L$120</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AE2B-4778-AF9D-D5CFF7D39912}"/>
            </c:ext>
          </c:extLst>
        </c:ser>
        <c:ser>
          <c:idx val="6"/>
          <c:order val="6"/>
          <c:tx>
            <c:strRef>
              <c:f>SR_cost_per_minute_forecast!$B$121</c:f>
              <c:strCache>
                <c:ptCount val="1"/>
                <c:pt idx="0">
                  <c:v>Launch Events</c:v>
                </c:pt>
              </c:strCache>
            </c:strRef>
          </c:tx>
          <c:spPr>
            <a:solidFill>
              <a:schemeClr val="accent1">
                <a:lumMod val="60000"/>
              </a:schemeClr>
            </a:solidFill>
            <a:ln w="25400">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SR_cost_per_minute_forecast!$C$121:$L$121</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6-AE2B-4778-AF9D-D5CFF7D39912}"/>
            </c:ext>
          </c:extLst>
        </c:ser>
        <c:ser>
          <c:idx val="7"/>
          <c:order val="7"/>
          <c:tx>
            <c:strRef>
              <c:f>SR_cost_per_minute_forecast!$B$122</c:f>
              <c:strCache>
                <c:ptCount val="1"/>
                <c:pt idx="0">
                  <c:v>Terrestrial &amp; Aerial</c:v>
                </c:pt>
              </c:strCache>
            </c:strRef>
          </c:tx>
          <c:spPr>
            <a:solidFill>
              <a:schemeClr val="accent2">
                <a:lumMod val="60000"/>
              </a:schemeClr>
            </a:solidFill>
            <a:ln w="25400">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SR_cost_per_minute_forecast!$C$122:$L$122</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7-AE2B-4778-AF9D-D5CFF7D39912}"/>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r"/>
      <c:layout>
        <c:manualLayout>
          <c:xMode val="edge"/>
          <c:yMode val="edge"/>
          <c:x val="4.4387242158854021E-2"/>
          <c:y val="0.77799516251514711"/>
          <c:w val="0.91285533192475909"/>
          <c:h val="0.1898369369539180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b="0" i="0" baseline="0">
                <a:effectLst/>
              </a:rPr>
              <a:t>Total cost by use case (Baseline demand scenario) </a:t>
            </a:r>
            <a:r>
              <a:rPr lang="en-US" sz="1200" b="0" i="0" u="none" strike="noStrike" baseline="0">
                <a:effectLst/>
              </a:rPr>
              <a:t>(60% profit margin)</a:t>
            </a:r>
            <a:endParaRPr lang="en-US" sz="1200">
              <a:effectLst/>
            </a:endParaRP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5591303187231501"/>
          <c:y val="0.14037169986104678"/>
          <c:w val="0.81213044486907282"/>
          <c:h val="0.57779952138335644"/>
        </c:manualLayout>
      </c:layout>
      <c:areaChart>
        <c:grouping val="stacked"/>
        <c:varyColors val="0"/>
        <c:ser>
          <c:idx val="0"/>
          <c:order val="0"/>
          <c:tx>
            <c:strRef>
              <c:f>SR_cost_per_minute_forecast!$B$133</c:f>
              <c:strCache>
                <c:ptCount val="1"/>
                <c:pt idx="0">
                  <c:v>Human Space Flight</c:v>
                </c:pt>
              </c:strCache>
            </c:strRef>
          </c:tx>
          <c:spPr>
            <a:solidFill>
              <a:schemeClr val="accent1"/>
            </a:solidFill>
            <a:ln>
              <a:noFill/>
            </a:ln>
            <a:effectLst/>
          </c:spPr>
          <c:cat>
            <c:numRef>
              <c:f>SR_cost_per_minute_forecast!$C$76:$L$76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SR_cost_per_minute_forecast!$C$133:$L$133</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8505-4F3B-8446-D51ACDF5E406}"/>
            </c:ext>
          </c:extLst>
        </c:ser>
        <c:ser>
          <c:idx val="1"/>
          <c:order val="1"/>
          <c:tx>
            <c:strRef>
              <c:f>SR_cost_per_minute_forecast!$B$134</c:f>
              <c:strCache>
                <c:ptCount val="1"/>
                <c:pt idx="0">
                  <c:v>Near Earth Robotic - LEO Science</c:v>
                </c:pt>
              </c:strCache>
            </c:strRef>
          </c:tx>
          <c:spPr>
            <a:solidFill>
              <a:schemeClr val="accent2"/>
            </a:solidFill>
            <a:ln>
              <a:noFill/>
            </a:ln>
            <a:effectLst/>
          </c:spPr>
          <c:cat>
            <c:numRef>
              <c:f>SR_cost_per_minute_forecast!$C$76:$L$76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SR_cost_per_minute_forecast!$C$134:$L$134</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8505-4F3B-8446-D51ACDF5E406}"/>
            </c:ext>
          </c:extLst>
        </c:ser>
        <c:ser>
          <c:idx val="2"/>
          <c:order val="2"/>
          <c:tx>
            <c:strRef>
              <c:f>SR_cost_per_minute_forecast!$B$135</c:f>
              <c:strCache>
                <c:ptCount val="1"/>
                <c:pt idx="0">
                  <c:v>Near Earth Robotic - GEO and Near Earth</c:v>
                </c:pt>
              </c:strCache>
            </c:strRef>
          </c:tx>
          <c:spPr>
            <a:solidFill>
              <a:schemeClr val="accent3"/>
            </a:solidFill>
            <a:ln>
              <a:noFill/>
            </a:ln>
            <a:effectLst/>
          </c:spPr>
          <c:cat>
            <c:numRef>
              <c:f>SR_cost_per_minute_forecast!$C$76:$L$76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SR_cost_per_minute_forecast!$C$135:$L$135</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2-8505-4F3B-8446-D51ACDF5E406}"/>
            </c:ext>
          </c:extLst>
        </c:ser>
        <c:ser>
          <c:idx val="3"/>
          <c:order val="3"/>
          <c:tx>
            <c:strRef>
              <c:f>SR_cost_per_minute_forecast!$B$136</c:f>
              <c:strCache>
                <c:ptCount val="1"/>
                <c:pt idx="0">
                  <c:v>Deep Space Robotic</c:v>
                </c:pt>
              </c:strCache>
            </c:strRef>
          </c:tx>
          <c:spPr>
            <a:solidFill>
              <a:schemeClr val="accent4"/>
            </a:solidFill>
            <a:ln w="25400">
              <a:noFill/>
            </a:ln>
            <a:effectLst/>
          </c:spPr>
          <c:cat>
            <c:numRef>
              <c:f>SR_cost_per_minute_forecast!$C$76:$L$76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SR_cost_per_minute_forecast!$C$136:$L$136</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8505-4F3B-8446-D51ACDF5E406}"/>
            </c:ext>
          </c:extLst>
        </c:ser>
        <c:ser>
          <c:idx val="4"/>
          <c:order val="4"/>
          <c:tx>
            <c:strRef>
              <c:f>SR_cost_per_minute_forecast!$B$137</c:f>
              <c:strCache>
                <c:ptCount val="1"/>
                <c:pt idx="0">
                  <c:v>Near Earth Robotic - Low Latency &amp; Complex Needs</c:v>
                </c:pt>
              </c:strCache>
            </c:strRef>
          </c:tx>
          <c:spPr>
            <a:solidFill>
              <a:schemeClr val="accent5"/>
            </a:solidFill>
            <a:ln w="25400">
              <a:noFill/>
            </a:ln>
            <a:effectLst/>
          </c:spPr>
          <c:cat>
            <c:numRef>
              <c:f>SR_cost_per_minute_forecast!$C$76:$L$76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SR_cost_per_minute_forecast!$C$137:$L$137</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8505-4F3B-8446-D51ACDF5E406}"/>
            </c:ext>
          </c:extLst>
        </c:ser>
        <c:ser>
          <c:idx val="5"/>
          <c:order val="5"/>
          <c:tx>
            <c:strRef>
              <c:f>SR_cost_per_minute_forecast!$B$138</c:f>
              <c:strCache>
                <c:ptCount val="1"/>
                <c:pt idx="0">
                  <c:v>Mission Operations</c:v>
                </c:pt>
              </c:strCache>
            </c:strRef>
          </c:tx>
          <c:spPr>
            <a:solidFill>
              <a:schemeClr val="accent6"/>
            </a:solidFill>
            <a:ln w="25400">
              <a:noFill/>
            </a:ln>
            <a:effectLst/>
          </c:spPr>
          <c:cat>
            <c:numRef>
              <c:f>SR_cost_per_minute_forecast!$C$76:$L$76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SR_cost_per_minute_forecast!$C$138:$L$138</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8505-4F3B-8446-D51ACDF5E406}"/>
            </c:ext>
          </c:extLst>
        </c:ser>
        <c:ser>
          <c:idx val="6"/>
          <c:order val="6"/>
          <c:tx>
            <c:strRef>
              <c:f>SR_cost_per_minute_forecast!$B$139</c:f>
              <c:strCache>
                <c:ptCount val="1"/>
                <c:pt idx="0">
                  <c:v>Launch Events</c:v>
                </c:pt>
              </c:strCache>
            </c:strRef>
          </c:tx>
          <c:spPr>
            <a:solidFill>
              <a:schemeClr val="accent1">
                <a:lumMod val="60000"/>
              </a:schemeClr>
            </a:solidFill>
            <a:ln w="25400">
              <a:noFill/>
            </a:ln>
            <a:effectLst/>
          </c:spPr>
          <c:cat>
            <c:numRef>
              <c:f>SR_cost_per_minute_forecast!$C$76:$L$76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SR_cost_per_minute_forecast!$C$139:$L$139</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6-8505-4F3B-8446-D51ACDF5E406}"/>
            </c:ext>
          </c:extLst>
        </c:ser>
        <c:ser>
          <c:idx val="7"/>
          <c:order val="7"/>
          <c:tx>
            <c:strRef>
              <c:f>SR_cost_per_minute_forecast!$B$140</c:f>
              <c:strCache>
                <c:ptCount val="1"/>
                <c:pt idx="0">
                  <c:v>Terrestrial &amp; Aerial</c:v>
                </c:pt>
              </c:strCache>
            </c:strRef>
          </c:tx>
          <c:spPr>
            <a:solidFill>
              <a:schemeClr val="accent2">
                <a:lumMod val="60000"/>
              </a:schemeClr>
            </a:solidFill>
            <a:ln w="25400">
              <a:noFill/>
            </a:ln>
            <a:effectLst/>
          </c:spPr>
          <c:cat>
            <c:numRef>
              <c:f>SR_cost_per_minute_forecast!$C$76:$L$76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SR_cost_per_minute_forecast!$C$140:$L$140</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7-8505-4F3B-8446-D51ACDF5E406}"/>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b="0" i="0" baseline="0">
                <a:effectLst/>
              </a:rPr>
              <a:t>Total cost by use case (High demand scenario) </a:t>
            </a:r>
            <a:r>
              <a:rPr lang="en-US" sz="1200" b="0" i="0" u="none" strike="noStrike" baseline="0">
                <a:effectLst/>
              </a:rPr>
              <a:t>(60% profit margin)</a:t>
            </a:r>
            <a:endParaRPr lang="en-US" sz="1200">
              <a:effectLst/>
            </a:endParaRP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6648066522503069"/>
          <c:y val="0.13755100539470003"/>
          <c:w val="0.80156281151635722"/>
          <c:h val="0.56663816329744165"/>
        </c:manualLayout>
      </c:layout>
      <c:areaChart>
        <c:grouping val="stacked"/>
        <c:varyColors val="0"/>
        <c:ser>
          <c:idx val="0"/>
          <c:order val="0"/>
          <c:tx>
            <c:strRef>
              <c:f>SR_cost_per_minute_forecast!$B$151</c:f>
              <c:strCache>
                <c:ptCount val="1"/>
                <c:pt idx="0">
                  <c:v>Human Space Flight</c:v>
                </c:pt>
              </c:strCache>
            </c:strRef>
          </c:tx>
          <c:spPr>
            <a:solidFill>
              <a:schemeClr val="accent1"/>
            </a:solidFill>
            <a:ln>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SR_cost_per_minute_forecast!$C$151:$L$151</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F17B-49B3-B3EA-7200A29DF807}"/>
            </c:ext>
          </c:extLst>
        </c:ser>
        <c:ser>
          <c:idx val="1"/>
          <c:order val="1"/>
          <c:tx>
            <c:strRef>
              <c:f>SR_cost_per_minute_forecast!$B$152</c:f>
              <c:strCache>
                <c:ptCount val="1"/>
                <c:pt idx="0">
                  <c:v>Near Earth Robotic - LEO Science</c:v>
                </c:pt>
              </c:strCache>
            </c:strRef>
          </c:tx>
          <c:spPr>
            <a:solidFill>
              <a:schemeClr val="accent2"/>
            </a:solidFill>
            <a:ln>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SR_cost_per_minute_forecast!$C$152:$L$152</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F17B-49B3-B3EA-7200A29DF807}"/>
            </c:ext>
          </c:extLst>
        </c:ser>
        <c:ser>
          <c:idx val="2"/>
          <c:order val="2"/>
          <c:tx>
            <c:strRef>
              <c:f>SR_cost_per_minute_forecast!$B$153</c:f>
              <c:strCache>
                <c:ptCount val="1"/>
                <c:pt idx="0">
                  <c:v>Near Earth Robotic - GEO and Near Earth</c:v>
                </c:pt>
              </c:strCache>
            </c:strRef>
          </c:tx>
          <c:spPr>
            <a:solidFill>
              <a:schemeClr val="accent3"/>
            </a:solidFill>
            <a:ln>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SR_cost_per_minute_forecast!$C$153:$L$153</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2-F17B-49B3-B3EA-7200A29DF807}"/>
            </c:ext>
          </c:extLst>
        </c:ser>
        <c:ser>
          <c:idx val="3"/>
          <c:order val="3"/>
          <c:tx>
            <c:strRef>
              <c:f>SR_cost_per_minute_forecast!$B$154</c:f>
              <c:strCache>
                <c:ptCount val="1"/>
                <c:pt idx="0">
                  <c:v>Deep Space Robotic</c:v>
                </c:pt>
              </c:strCache>
            </c:strRef>
          </c:tx>
          <c:spPr>
            <a:solidFill>
              <a:schemeClr val="accent4"/>
            </a:solidFill>
            <a:ln w="25400">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SR_cost_per_minute_forecast!$C$154:$L$154</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F17B-49B3-B3EA-7200A29DF807}"/>
            </c:ext>
          </c:extLst>
        </c:ser>
        <c:ser>
          <c:idx val="4"/>
          <c:order val="4"/>
          <c:tx>
            <c:strRef>
              <c:f>SR_cost_per_minute_forecast!$B$155</c:f>
              <c:strCache>
                <c:ptCount val="1"/>
                <c:pt idx="0">
                  <c:v>Near Earth Robotic - Low Latency &amp; Complex Needs</c:v>
                </c:pt>
              </c:strCache>
            </c:strRef>
          </c:tx>
          <c:spPr>
            <a:solidFill>
              <a:schemeClr val="accent5"/>
            </a:solidFill>
            <a:ln w="25400">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SR_cost_per_minute_forecast!$C$155:$L$155</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F17B-49B3-B3EA-7200A29DF807}"/>
            </c:ext>
          </c:extLst>
        </c:ser>
        <c:ser>
          <c:idx val="5"/>
          <c:order val="5"/>
          <c:tx>
            <c:strRef>
              <c:f>SR_cost_per_minute_forecast!$B$156</c:f>
              <c:strCache>
                <c:ptCount val="1"/>
                <c:pt idx="0">
                  <c:v>Mission Operations</c:v>
                </c:pt>
              </c:strCache>
            </c:strRef>
          </c:tx>
          <c:spPr>
            <a:solidFill>
              <a:schemeClr val="accent6"/>
            </a:solidFill>
            <a:ln w="25400">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SR_cost_per_minute_forecast!$C$156:$L$156</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F17B-49B3-B3EA-7200A29DF807}"/>
            </c:ext>
          </c:extLst>
        </c:ser>
        <c:ser>
          <c:idx val="6"/>
          <c:order val="6"/>
          <c:tx>
            <c:strRef>
              <c:f>SR_cost_per_minute_forecast!$B$157</c:f>
              <c:strCache>
                <c:ptCount val="1"/>
                <c:pt idx="0">
                  <c:v>Launch Events</c:v>
                </c:pt>
              </c:strCache>
            </c:strRef>
          </c:tx>
          <c:spPr>
            <a:solidFill>
              <a:schemeClr val="accent1">
                <a:lumMod val="60000"/>
              </a:schemeClr>
            </a:solidFill>
            <a:ln w="25400">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SR_cost_per_minute_forecast!$C$157:$L$157</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6-F17B-49B3-B3EA-7200A29DF807}"/>
            </c:ext>
          </c:extLst>
        </c:ser>
        <c:ser>
          <c:idx val="7"/>
          <c:order val="7"/>
          <c:tx>
            <c:strRef>
              <c:f>SR_cost_per_minute_forecast!$B$158</c:f>
              <c:strCache>
                <c:ptCount val="1"/>
                <c:pt idx="0">
                  <c:v>Terrestrial &amp; Aerial</c:v>
                </c:pt>
              </c:strCache>
            </c:strRef>
          </c:tx>
          <c:spPr>
            <a:solidFill>
              <a:schemeClr val="accent2">
                <a:lumMod val="60000"/>
              </a:schemeClr>
            </a:solidFill>
            <a:ln w="25400">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SR_cost_per_minute_forecast!$C$158:$L$158</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7-F17B-49B3-B3EA-7200A29DF807}"/>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a:t>Total cost by use case (Low demand scenario) </a:t>
            </a:r>
            <a:r>
              <a:rPr lang="en-US" sz="1200" b="0" i="0" u="none" strike="noStrike" baseline="0">
                <a:effectLst/>
              </a:rPr>
              <a:t>(80% profit margin)</a:t>
            </a:r>
            <a:endParaRPr lang="en-US" sz="1200"/>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6580466952930259"/>
          <c:y val="0.18126685397946379"/>
          <c:w val="0.80223880721208529"/>
          <c:h val="0.48459830760805012"/>
        </c:manualLayout>
      </c:layout>
      <c:areaChart>
        <c:grouping val="stacked"/>
        <c:varyColors val="0"/>
        <c:ser>
          <c:idx val="0"/>
          <c:order val="0"/>
          <c:tx>
            <c:strRef>
              <c:f>SR_cost_per_minute_forecast!$B$171</c:f>
              <c:strCache>
                <c:ptCount val="1"/>
                <c:pt idx="0">
                  <c:v>Human Space Flight</c:v>
                </c:pt>
              </c:strCache>
            </c:strRef>
          </c:tx>
          <c:spPr>
            <a:solidFill>
              <a:schemeClr val="accent1"/>
            </a:solidFill>
            <a:ln>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SR_cost_per_minute_forecast!$C$171:$L$171</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05BB-43C7-B6C8-5252BEE63648}"/>
            </c:ext>
          </c:extLst>
        </c:ser>
        <c:ser>
          <c:idx val="1"/>
          <c:order val="1"/>
          <c:tx>
            <c:strRef>
              <c:f>SR_cost_per_minute_forecast!$B$172</c:f>
              <c:strCache>
                <c:ptCount val="1"/>
                <c:pt idx="0">
                  <c:v>Near Earth Robotic - LEO Science</c:v>
                </c:pt>
              </c:strCache>
            </c:strRef>
          </c:tx>
          <c:spPr>
            <a:solidFill>
              <a:schemeClr val="accent2"/>
            </a:solidFill>
            <a:ln>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SR_cost_per_minute_forecast!$C$172:$L$172</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05BB-43C7-B6C8-5252BEE63648}"/>
            </c:ext>
          </c:extLst>
        </c:ser>
        <c:ser>
          <c:idx val="2"/>
          <c:order val="2"/>
          <c:tx>
            <c:strRef>
              <c:f>SR_cost_per_minute_forecast!$B$173</c:f>
              <c:strCache>
                <c:ptCount val="1"/>
                <c:pt idx="0">
                  <c:v>Near Earth Robotic - GEO and Near Earth</c:v>
                </c:pt>
              </c:strCache>
            </c:strRef>
          </c:tx>
          <c:spPr>
            <a:solidFill>
              <a:schemeClr val="accent3"/>
            </a:solidFill>
            <a:ln>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SR_cost_per_minute_forecast!$C$173:$L$173</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2-05BB-43C7-B6C8-5252BEE63648}"/>
            </c:ext>
          </c:extLst>
        </c:ser>
        <c:ser>
          <c:idx val="3"/>
          <c:order val="3"/>
          <c:tx>
            <c:strRef>
              <c:f>SR_cost_per_minute_forecast!$B$174</c:f>
              <c:strCache>
                <c:ptCount val="1"/>
                <c:pt idx="0">
                  <c:v>Deep Space Robotic</c:v>
                </c:pt>
              </c:strCache>
            </c:strRef>
          </c:tx>
          <c:spPr>
            <a:solidFill>
              <a:schemeClr val="accent4"/>
            </a:solidFill>
            <a:ln w="25400">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SR_cost_per_minute_forecast!$C$174:$L$174</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05BB-43C7-B6C8-5252BEE63648}"/>
            </c:ext>
          </c:extLst>
        </c:ser>
        <c:ser>
          <c:idx val="4"/>
          <c:order val="4"/>
          <c:tx>
            <c:strRef>
              <c:f>SR_cost_per_minute_forecast!$B$175</c:f>
              <c:strCache>
                <c:ptCount val="1"/>
                <c:pt idx="0">
                  <c:v>Near Earth Robotic - Low Latency &amp; Complex Needs</c:v>
                </c:pt>
              </c:strCache>
            </c:strRef>
          </c:tx>
          <c:spPr>
            <a:solidFill>
              <a:schemeClr val="accent5"/>
            </a:solidFill>
            <a:ln w="25400">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SR_cost_per_minute_forecast!$C$175:$L$175</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05BB-43C7-B6C8-5252BEE63648}"/>
            </c:ext>
          </c:extLst>
        </c:ser>
        <c:ser>
          <c:idx val="5"/>
          <c:order val="5"/>
          <c:tx>
            <c:strRef>
              <c:f>SR_cost_per_minute_forecast!$B$176</c:f>
              <c:strCache>
                <c:ptCount val="1"/>
                <c:pt idx="0">
                  <c:v>Mission Operations</c:v>
                </c:pt>
              </c:strCache>
            </c:strRef>
          </c:tx>
          <c:spPr>
            <a:solidFill>
              <a:schemeClr val="accent6"/>
            </a:solidFill>
            <a:ln w="25400">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SR_cost_per_minute_forecast!$C$176:$L$176</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05BB-43C7-B6C8-5252BEE63648}"/>
            </c:ext>
          </c:extLst>
        </c:ser>
        <c:ser>
          <c:idx val="6"/>
          <c:order val="6"/>
          <c:tx>
            <c:strRef>
              <c:f>SR_cost_per_minute_forecast!$B$177</c:f>
              <c:strCache>
                <c:ptCount val="1"/>
                <c:pt idx="0">
                  <c:v>Launch Events</c:v>
                </c:pt>
              </c:strCache>
            </c:strRef>
          </c:tx>
          <c:spPr>
            <a:solidFill>
              <a:schemeClr val="accent1">
                <a:lumMod val="60000"/>
              </a:schemeClr>
            </a:solidFill>
            <a:ln w="25400">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SR_cost_per_minute_forecast!$C$177:$L$177</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6-05BB-43C7-B6C8-5252BEE63648}"/>
            </c:ext>
          </c:extLst>
        </c:ser>
        <c:ser>
          <c:idx val="7"/>
          <c:order val="7"/>
          <c:tx>
            <c:strRef>
              <c:f>SR_cost_per_minute_forecast!$B$178</c:f>
              <c:strCache>
                <c:ptCount val="1"/>
                <c:pt idx="0">
                  <c:v>Terrestrial &amp; Aerial</c:v>
                </c:pt>
              </c:strCache>
            </c:strRef>
          </c:tx>
          <c:spPr>
            <a:solidFill>
              <a:schemeClr val="accent2">
                <a:lumMod val="60000"/>
              </a:schemeClr>
            </a:solidFill>
            <a:ln w="25400">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SR_cost_per_minute_forecast!$C$178:$L$178</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7-05BB-43C7-B6C8-5252BEE63648}"/>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r"/>
      <c:layout>
        <c:manualLayout>
          <c:xMode val="edge"/>
          <c:yMode val="edge"/>
          <c:x val="4.4387242158854021E-2"/>
          <c:y val="0.77799516251514711"/>
          <c:w val="0.91285533192475909"/>
          <c:h val="0.1898369369539180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b="0" i="0" baseline="0">
                <a:effectLst/>
              </a:rPr>
              <a:t>Total cost by use case (Baseline demand scenario) </a:t>
            </a:r>
            <a:r>
              <a:rPr lang="en-US" sz="1200" b="0" i="0" u="none" strike="noStrike" baseline="0">
                <a:effectLst/>
              </a:rPr>
              <a:t>(80% profit margin)</a:t>
            </a:r>
            <a:endParaRPr lang="en-US" sz="1200">
              <a:effectLst/>
            </a:endParaRP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5591303187231501"/>
          <c:y val="0.14037169986104678"/>
          <c:w val="0.81213044486907282"/>
          <c:h val="0.57779952138335644"/>
        </c:manualLayout>
      </c:layout>
      <c:areaChart>
        <c:grouping val="stacked"/>
        <c:varyColors val="0"/>
        <c:ser>
          <c:idx val="0"/>
          <c:order val="0"/>
          <c:tx>
            <c:strRef>
              <c:f>SR_cost_per_minute_forecast!$B$189</c:f>
              <c:strCache>
                <c:ptCount val="1"/>
                <c:pt idx="0">
                  <c:v>Human Space Flight</c:v>
                </c:pt>
              </c:strCache>
            </c:strRef>
          </c:tx>
          <c:spPr>
            <a:solidFill>
              <a:schemeClr val="accent1"/>
            </a:solidFill>
            <a:ln>
              <a:noFill/>
            </a:ln>
            <a:effectLst/>
          </c:spPr>
          <c:cat>
            <c:numRef>
              <c:f>SR_cost_per_minute_forecast!$D$76:$M$76</c:f>
              <c:numCache>
                <c:formatCode>General</c:formatCode>
                <c:ptCount val="10"/>
                <c:pt idx="0">
                  <c:v>2022</c:v>
                </c:pt>
                <c:pt idx="1">
                  <c:v>2023</c:v>
                </c:pt>
                <c:pt idx="2">
                  <c:v>2024</c:v>
                </c:pt>
                <c:pt idx="3">
                  <c:v>2025</c:v>
                </c:pt>
                <c:pt idx="4">
                  <c:v>2026</c:v>
                </c:pt>
                <c:pt idx="5">
                  <c:v>2027</c:v>
                </c:pt>
                <c:pt idx="6">
                  <c:v>2028</c:v>
                </c:pt>
                <c:pt idx="7">
                  <c:v>2029</c:v>
                </c:pt>
                <c:pt idx="8">
                  <c:v>2030</c:v>
                </c:pt>
                <c:pt idx="9">
                  <c:v>2031</c:v>
                </c:pt>
              </c:numCache>
            </c:numRef>
          </c:cat>
          <c:val>
            <c:numRef>
              <c:f>SR_cost_per_minute_forecast!$D$189:$M$189</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D5F2-44FC-B45E-4B87A743081D}"/>
            </c:ext>
          </c:extLst>
        </c:ser>
        <c:ser>
          <c:idx val="1"/>
          <c:order val="1"/>
          <c:tx>
            <c:strRef>
              <c:f>SR_cost_per_minute_forecast!$B$190</c:f>
              <c:strCache>
                <c:ptCount val="1"/>
                <c:pt idx="0">
                  <c:v>Near Earth Robotic - LEO Science</c:v>
                </c:pt>
              </c:strCache>
            </c:strRef>
          </c:tx>
          <c:spPr>
            <a:solidFill>
              <a:schemeClr val="accent2"/>
            </a:solidFill>
            <a:ln>
              <a:noFill/>
            </a:ln>
            <a:effectLst/>
          </c:spPr>
          <c:cat>
            <c:numRef>
              <c:f>SR_cost_per_minute_forecast!$D$76:$M$76</c:f>
              <c:numCache>
                <c:formatCode>General</c:formatCode>
                <c:ptCount val="10"/>
                <c:pt idx="0">
                  <c:v>2022</c:v>
                </c:pt>
                <c:pt idx="1">
                  <c:v>2023</c:v>
                </c:pt>
                <c:pt idx="2">
                  <c:v>2024</c:v>
                </c:pt>
                <c:pt idx="3">
                  <c:v>2025</c:v>
                </c:pt>
                <c:pt idx="4">
                  <c:v>2026</c:v>
                </c:pt>
                <c:pt idx="5">
                  <c:v>2027</c:v>
                </c:pt>
                <c:pt idx="6">
                  <c:v>2028</c:v>
                </c:pt>
                <c:pt idx="7">
                  <c:v>2029</c:v>
                </c:pt>
                <c:pt idx="8">
                  <c:v>2030</c:v>
                </c:pt>
                <c:pt idx="9">
                  <c:v>2031</c:v>
                </c:pt>
              </c:numCache>
            </c:numRef>
          </c:cat>
          <c:val>
            <c:numRef>
              <c:f>SR_cost_per_minute_forecast!$D$190:$M$190</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D5F2-44FC-B45E-4B87A743081D}"/>
            </c:ext>
          </c:extLst>
        </c:ser>
        <c:ser>
          <c:idx val="2"/>
          <c:order val="2"/>
          <c:tx>
            <c:strRef>
              <c:f>SR_cost_per_minute_forecast!$B$191</c:f>
              <c:strCache>
                <c:ptCount val="1"/>
                <c:pt idx="0">
                  <c:v>Near Earth Robotic - GEO and Near Earth</c:v>
                </c:pt>
              </c:strCache>
            </c:strRef>
          </c:tx>
          <c:spPr>
            <a:solidFill>
              <a:schemeClr val="accent3"/>
            </a:solidFill>
            <a:ln>
              <a:noFill/>
            </a:ln>
            <a:effectLst/>
          </c:spPr>
          <c:cat>
            <c:numRef>
              <c:f>SR_cost_per_minute_forecast!$D$76:$M$76</c:f>
              <c:numCache>
                <c:formatCode>General</c:formatCode>
                <c:ptCount val="10"/>
                <c:pt idx="0">
                  <c:v>2022</c:v>
                </c:pt>
                <c:pt idx="1">
                  <c:v>2023</c:v>
                </c:pt>
                <c:pt idx="2">
                  <c:v>2024</c:v>
                </c:pt>
                <c:pt idx="3">
                  <c:v>2025</c:v>
                </c:pt>
                <c:pt idx="4">
                  <c:v>2026</c:v>
                </c:pt>
                <c:pt idx="5">
                  <c:v>2027</c:v>
                </c:pt>
                <c:pt idx="6">
                  <c:v>2028</c:v>
                </c:pt>
                <c:pt idx="7">
                  <c:v>2029</c:v>
                </c:pt>
                <c:pt idx="8">
                  <c:v>2030</c:v>
                </c:pt>
                <c:pt idx="9">
                  <c:v>2031</c:v>
                </c:pt>
              </c:numCache>
            </c:numRef>
          </c:cat>
          <c:val>
            <c:numRef>
              <c:f>SR_cost_per_minute_forecast!$D$191:$M$191</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2-D5F2-44FC-B45E-4B87A743081D}"/>
            </c:ext>
          </c:extLst>
        </c:ser>
        <c:ser>
          <c:idx val="3"/>
          <c:order val="3"/>
          <c:tx>
            <c:strRef>
              <c:f>SR_cost_per_minute_forecast!$B$192</c:f>
              <c:strCache>
                <c:ptCount val="1"/>
                <c:pt idx="0">
                  <c:v>Deep Space Robotic</c:v>
                </c:pt>
              </c:strCache>
            </c:strRef>
          </c:tx>
          <c:spPr>
            <a:solidFill>
              <a:schemeClr val="accent4"/>
            </a:solidFill>
            <a:ln w="25400">
              <a:noFill/>
            </a:ln>
            <a:effectLst/>
          </c:spPr>
          <c:cat>
            <c:numRef>
              <c:f>SR_cost_per_minute_forecast!$D$76:$M$76</c:f>
              <c:numCache>
                <c:formatCode>General</c:formatCode>
                <c:ptCount val="10"/>
                <c:pt idx="0">
                  <c:v>2022</c:v>
                </c:pt>
                <c:pt idx="1">
                  <c:v>2023</c:v>
                </c:pt>
                <c:pt idx="2">
                  <c:v>2024</c:v>
                </c:pt>
                <c:pt idx="3">
                  <c:v>2025</c:v>
                </c:pt>
                <c:pt idx="4">
                  <c:v>2026</c:v>
                </c:pt>
                <c:pt idx="5">
                  <c:v>2027</c:v>
                </c:pt>
                <c:pt idx="6">
                  <c:v>2028</c:v>
                </c:pt>
                <c:pt idx="7">
                  <c:v>2029</c:v>
                </c:pt>
                <c:pt idx="8">
                  <c:v>2030</c:v>
                </c:pt>
                <c:pt idx="9">
                  <c:v>2031</c:v>
                </c:pt>
              </c:numCache>
            </c:numRef>
          </c:cat>
          <c:val>
            <c:numRef>
              <c:f>SR_cost_per_minute_forecast!$D$192:$M$192</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D5F2-44FC-B45E-4B87A743081D}"/>
            </c:ext>
          </c:extLst>
        </c:ser>
        <c:ser>
          <c:idx val="4"/>
          <c:order val="4"/>
          <c:tx>
            <c:strRef>
              <c:f>SR_cost_per_minute_forecast!$B$193</c:f>
              <c:strCache>
                <c:ptCount val="1"/>
                <c:pt idx="0">
                  <c:v>Near Earth Robotic - Low Latency &amp; Complex Needs</c:v>
                </c:pt>
              </c:strCache>
            </c:strRef>
          </c:tx>
          <c:spPr>
            <a:solidFill>
              <a:schemeClr val="accent5"/>
            </a:solidFill>
            <a:ln w="25400">
              <a:noFill/>
            </a:ln>
            <a:effectLst/>
          </c:spPr>
          <c:cat>
            <c:numRef>
              <c:f>SR_cost_per_minute_forecast!$D$76:$M$76</c:f>
              <c:numCache>
                <c:formatCode>General</c:formatCode>
                <c:ptCount val="10"/>
                <c:pt idx="0">
                  <c:v>2022</c:v>
                </c:pt>
                <c:pt idx="1">
                  <c:v>2023</c:v>
                </c:pt>
                <c:pt idx="2">
                  <c:v>2024</c:v>
                </c:pt>
                <c:pt idx="3">
                  <c:v>2025</c:v>
                </c:pt>
                <c:pt idx="4">
                  <c:v>2026</c:v>
                </c:pt>
                <c:pt idx="5">
                  <c:v>2027</c:v>
                </c:pt>
                <c:pt idx="6">
                  <c:v>2028</c:v>
                </c:pt>
                <c:pt idx="7">
                  <c:v>2029</c:v>
                </c:pt>
                <c:pt idx="8">
                  <c:v>2030</c:v>
                </c:pt>
                <c:pt idx="9">
                  <c:v>2031</c:v>
                </c:pt>
              </c:numCache>
            </c:numRef>
          </c:cat>
          <c:val>
            <c:numRef>
              <c:f>SR_cost_per_minute_forecast!$D$193:$M$193</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D5F2-44FC-B45E-4B87A743081D}"/>
            </c:ext>
          </c:extLst>
        </c:ser>
        <c:ser>
          <c:idx val="5"/>
          <c:order val="5"/>
          <c:tx>
            <c:strRef>
              <c:f>SR_cost_per_minute_forecast!$B$194</c:f>
              <c:strCache>
                <c:ptCount val="1"/>
                <c:pt idx="0">
                  <c:v>Mission Operations</c:v>
                </c:pt>
              </c:strCache>
            </c:strRef>
          </c:tx>
          <c:spPr>
            <a:solidFill>
              <a:schemeClr val="accent6"/>
            </a:solidFill>
            <a:ln w="25400">
              <a:noFill/>
            </a:ln>
            <a:effectLst/>
          </c:spPr>
          <c:cat>
            <c:numRef>
              <c:f>SR_cost_per_minute_forecast!$D$76:$M$76</c:f>
              <c:numCache>
                <c:formatCode>General</c:formatCode>
                <c:ptCount val="10"/>
                <c:pt idx="0">
                  <c:v>2022</c:v>
                </c:pt>
                <c:pt idx="1">
                  <c:v>2023</c:v>
                </c:pt>
                <c:pt idx="2">
                  <c:v>2024</c:v>
                </c:pt>
                <c:pt idx="3">
                  <c:v>2025</c:v>
                </c:pt>
                <c:pt idx="4">
                  <c:v>2026</c:v>
                </c:pt>
                <c:pt idx="5">
                  <c:v>2027</c:v>
                </c:pt>
                <c:pt idx="6">
                  <c:v>2028</c:v>
                </c:pt>
                <c:pt idx="7">
                  <c:v>2029</c:v>
                </c:pt>
                <c:pt idx="8">
                  <c:v>2030</c:v>
                </c:pt>
                <c:pt idx="9">
                  <c:v>2031</c:v>
                </c:pt>
              </c:numCache>
            </c:numRef>
          </c:cat>
          <c:val>
            <c:numRef>
              <c:f>SR_cost_per_minute_forecast!$D$194:$M$194</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D5F2-44FC-B45E-4B87A743081D}"/>
            </c:ext>
          </c:extLst>
        </c:ser>
        <c:ser>
          <c:idx val="6"/>
          <c:order val="6"/>
          <c:tx>
            <c:strRef>
              <c:f>SR_cost_per_minute_forecast!$B$195</c:f>
              <c:strCache>
                <c:ptCount val="1"/>
                <c:pt idx="0">
                  <c:v>Launch Events</c:v>
                </c:pt>
              </c:strCache>
            </c:strRef>
          </c:tx>
          <c:spPr>
            <a:solidFill>
              <a:schemeClr val="accent1">
                <a:lumMod val="60000"/>
              </a:schemeClr>
            </a:solidFill>
            <a:ln w="25400">
              <a:noFill/>
            </a:ln>
            <a:effectLst/>
          </c:spPr>
          <c:cat>
            <c:numRef>
              <c:f>SR_cost_per_minute_forecast!$D$76:$M$76</c:f>
              <c:numCache>
                <c:formatCode>General</c:formatCode>
                <c:ptCount val="10"/>
                <c:pt idx="0">
                  <c:v>2022</c:v>
                </c:pt>
                <c:pt idx="1">
                  <c:v>2023</c:v>
                </c:pt>
                <c:pt idx="2">
                  <c:v>2024</c:v>
                </c:pt>
                <c:pt idx="3">
                  <c:v>2025</c:v>
                </c:pt>
                <c:pt idx="4">
                  <c:v>2026</c:v>
                </c:pt>
                <c:pt idx="5">
                  <c:v>2027</c:v>
                </c:pt>
                <c:pt idx="6">
                  <c:v>2028</c:v>
                </c:pt>
                <c:pt idx="7">
                  <c:v>2029</c:v>
                </c:pt>
                <c:pt idx="8">
                  <c:v>2030</c:v>
                </c:pt>
                <c:pt idx="9">
                  <c:v>2031</c:v>
                </c:pt>
              </c:numCache>
            </c:numRef>
          </c:cat>
          <c:val>
            <c:numRef>
              <c:f>SR_cost_per_minute_forecast!$D$195:$M$195</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6-D5F2-44FC-B45E-4B87A743081D}"/>
            </c:ext>
          </c:extLst>
        </c:ser>
        <c:ser>
          <c:idx val="7"/>
          <c:order val="7"/>
          <c:tx>
            <c:strRef>
              <c:f>SR_cost_per_minute_forecast!$B$196</c:f>
              <c:strCache>
                <c:ptCount val="1"/>
                <c:pt idx="0">
                  <c:v>Terrestrial &amp; Aerial</c:v>
                </c:pt>
              </c:strCache>
            </c:strRef>
          </c:tx>
          <c:spPr>
            <a:solidFill>
              <a:schemeClr val="accent2">
                <a:lumMod val="60000"/>
              </a:schemeClr>
            </a:solidFill>
            <a:ln w="25400">
              <a:noFill/>
            </a:ln>
            <a:effectLst/>
          </c:spPr>
          <c:cat>
            <c:numRef>
              <c:f>SR_cost_per_minute_forecast!$D$76:$M$76</c:f>
              <c:numCache>
                <c:formatCode>General</c:formatCode>
                <c:ptCount val="10"/>
                <c:pt idx="0">
                  <c:v>2022</c:v>
                </c:pt>
                <c:pt idx="1">
                  <c:v>2023</c:v>
                </c:pt>
                <c:pt idx="2">
                  <c:v>2024</c:v>
                </c:pt>
                <c:pt idx="3">
                  <c:v>2025</c:v>
                </c:pt>
                <c:pt idx="4">
                  <c:v>2026</c:v>
                </c:pt>
                <c:pt idx="5">
                  <c:v>2027</c:v>
                </c:pt>
                <c:pt idx="6">
                  <c:v>2028</c:v>
                </c:pt>
                <c:pt idx="7">
                  <c:v>2029</c:v>
                </c:pt>
                <c:pt idx="8">
                  <c:v>2030</c:v>
                </c:pt>
                <c:pt idx="9">
                  <c:v>2031</c:v>
                </c:pt>
              </c:numCache>
            </c:numRef>
          </c:cat>
          <c:val>
            <c:numRef>
              <c:f>SR_cost_per_minute_forecast!$D$196:$M$196</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7-D5F2-44FC-B45E-4B87A743081D}"/>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b="0" i="0" baseline="0">
                <a:effectLst/>
              </a:rPr>
              <a:t>Total cost by use case (High demand scenario) </a:t>
            </a:r>
            <a:r>
              <a:rPr lang="en-US" sz="1200" b="0" i="0" u="none" strike="noStrike" baseline="0">
                <a:effectLst/>
              </a:rPr>
              <a:t>(80% profit margin)</a:t>
            </a:r>
            <a:endParaRPr lang="en-US" sz="1200">
              <a:effectLst/>
            </a:endParaRP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6648066522503069"/>
          <c:y val="0.13755100539470003"/>
          <c:w val="0.80156281151635722"/>
          <c:h val="0.56663816329744165"/>
        </c:manualLayout>
      </c:layout>
      <c:areaChart>
        <c:grouping val="stacked"/>
        <c:varyColors val="0"/>
        <c:ser>
          <c:idx val="0"/>
          <c:order val="0"/>
          <c:tx>
            <c:strRef>
              <c:f>SR_cost_per_minute_forecast!$B$207</c:f>
              <c:strCache>
                <c:ptCount val="1"/>
                <c:pt idx="0">
                  <c:v>Human Space Flight</c:v>
                </c:pt>
              </c:strCache>
            </c:strRef>
          </c:tx>
          <c:spPr>
            <a:solidFill>
              <a:schemeClr val="accent1"/>
            </a:solidFill>
            <a:ln>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SR_cost_per_minute_forecast!$C$207:$L$207</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4FC4-4128-BCD5-62AB0F8ED9F9}"/>
            </c:ext>
          </c:extLst>
        </c:ser>
        <c:ser>
          <c:idx val="1"/>
          <c:order val="1"/>
          <c:tx>
            <c:strRef>
              <c:f>SR_cost_per_minute_forecast!$B$208</c:f>
              <c:strCache>
                <c:ptCount val="1"/>
                <c:pt idx="0">
                  <c:v>Near Earth Robotic - LEO Science</c:v>
                </c:pt>
              </c:strCache>
            </c:strRef>
          </c:tx>
          <c:spPr>
            <a:solidFill>
              <a:schemeClr val="accent2"/>
            </a:solidFill>
            <a:ln>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SR_cost_per_minute_forecast!$C$208:$L$208</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4FC4-4128-BCD5-62AB0F8ED9F9}"/>
            </c:ext>
          </c:extLst>
        </c:ser>
        <c:ser>
          <c:idx val="2"/>
          <c:order val="2"/>
          <c:tx>
            <c:strRef>
              <c:f>SR_cost_per_minute_forecast!$B$209</c:f>
              <c:strCache>
                <c:ptCount val="1"/>
                <c:pt idx="0">
                  <c:v>Near Earth Robotic - GEO and Near Earth</c:v>
                </c:pt>
              </c:strCache>
            </c:strRef>
          </c:tx>
          <c:spPr>
            <a:solidFill>
              <a:schemeClr val="accent3"/>
            </a:solidFill>
            <a:ln>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SR_cost_per_minute_forecast!$C$209:$L$209</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2-4FC4-4128-BCD5-62AB0F8ED9F9}"/>
            </c:ext>
          </c:extLst>
        </c:ser>
        <c:ser>
          <c:idx val="3"/>
          <c:order val="3"/>
          <c:tx>
            <c:strRef>
              <c:f>SR_cost_per_minute_forecast!$B$210</c:f>
              <c:strCache>
                <c:ptCount val="1"/>
                <c:pt idx="0">
                  <c:v>Deep Space Robotic</c:v>
                </c:pt>
              </c:strCache>
            </c:strRef>
          </c:tx>
          <c:spPr>
            <a:solidFill>
              <a:schemeClr val="accent4"/>
            </a:solidFill>
            <a:ln w="25400">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SR_cost_per_minute_forecast!$C$210:$L$210</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4FC4-4128-BCD5-62AB0F8ED9F9}"/>
            </c:ext>
          </c:extLst>
        </c:ser>
        <c:ser>
          <c:idx val="4"/>
          <c:order val="4"/>
          <c:tx>
            <c:strRef>
              <c:f>SR_cost_per_minute_forecast!$B$211</c:f>
              <c:strCache>
                <c:ptCount val="1"/>
                <c:pt idx="0">
                  <c:v>Near Earth Robotic - Low Latency &amp; Complex Needs</c:v>
                </c:pt>
              </c:strCache>
            </c:strRef>
          </c:tx>
          <c:spPr>
            <a:solidFill>
              <a:schemeClr val="accent5"/>
            </a:solidFill>
            <a:ln w="25400">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SR_cost_per_minute_forecast!$C$211:$L$211</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4FC4-4128-BCD5-62AB0F8ED9F9}"/>
            </c:ext>
          </c:extLst>
        </c:ser>
        <c:ser>
          <c:idx val="5"/>
          <c:order val="5"/>
          <c:tx>
            <c:strRef>
              <c:f>SR_cost_per_minute_forecast!$B$212</c:f>
              <c:strCache>
                <c:ptCount val="1"/>
                <c:pt idx="0">
                  <c:v>Mission Operations</c:v>
                </c:pt>
              </c:strCache>
            </c:strRef>
          </c:tx>
          <c:spPr>
            <a:solidFill>
              <a:schemeClr val="accent6"/>
            </a:solidFill>
            <a:ln w="25400">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SR_cost_per_minute_forecast!$C$212:$L$212</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4FC4-4128-BCD5-62AB0F8ED9F9}"/>
            </c:ext>
          </c:extLst>
        </c:ser>
        <c:ser>
          <c:idx val="6"/>
          <c:order val="6"/>
          <c:tx>
            <c:strRef>
              <c:f>SR_cost_per_minute_forecast!$B$213</c:f>
              <c:strCache>
                <c:ptCount val="1"/>
                <c:pt idx="0">
                  <c:v>Launch Events</c:v>
                </c:pt>
              </c:strCache>
            </c:strRef>
          </c:tx>
          <c:spPr>
            <a:solidFill>
              <a:schemeClr val="accent1">
                <a:lumMod val="60000"/>
              </a:schemeClr>
            </a:solidFill>
            <a:ln w="25400">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SR_cost_per_minute_forecast!$C$213:$L$213</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6-4FC4-4128-BCD5-62AB0F8ED9F9}"/>
            </c:ext>
          </c:extLst>
        </c:ser>
        <c:ser>
          <c:idx val="7"/>
          <c:order val="7"/>
          <c:tx>
            <c:strRef>
              <c:f>SR_cost_per_minute_forecast!$B$214</c:f>
              <c:strCache>
                <c:ptCount val="1"/>
                <c:pt idx="0">
                  <c:v>Terrestrial &amp; Aerial</c:v>
                </c:pt>
              </c:strCache>
            </c:strRef>
          </c:tx>
          <c:spPr>
            <a:solidFill>
              <a:schemeClr val="accent2">
                <a:lumMod val="60000"/>
              </a:schemeClr>
            </a:solidFill>
            <a:ln w="25400">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SR_cost_per_minute_forecast!$C$214:$L$214</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7-4FC4-4128-BCD5-62AB0F8ED9F9}"/>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DTE </a:t>
            </a:r>
            <a:r>
              <a:rPr lang="en-US"/>
              <a:t>Total aggregate cost by scenario (20%</a:t>
            </a:r>
            <a:r>
              <a:rPr lang="en-US" baseline="0"/>
              <a:t> profit margin)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DTE_cost_per_minute_forecast!$B$1</c:f>
              <c:strCache>
                <c:ptCount val="1"/>
                <c:pt idx="0">
                  <c:v>Low Demand</c:v>
                </c:pt>
              </c:strCache>
            </c:strRef>
          </c:tx>
          <c:spPr>
            <a:ln w="28575" cap="rnd">
              <a:solidFill>
                <a:schemeClr val="accent1"/>
              </a:solidFill>
              <a:round/>
            </a:ln>
            <a:effectLst/>
          </c:spPr>
          <c:marker>
            <c:symbol val="none"/>
          </c:marker>
          <c:cat>
            <c:numRef>
              <c:f>DTE_cost_per_minute_forecast!$C$2:$L$2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DTE_cost_per_minute_forecast!$C$11:$L$11</c:f>
              <c:numCache>
                <c:formatCode>_(* #,##0_);_(* \(#,##0\);_(* "-"??_);_(@_)</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0-CC23-44A7-97BF-2EB7E547CF55}"/>
            </c:ext>
          </c:extLst>
        </c:ser>
        <c:ser>
          <c:idx val="1"/>
          <c:order val="1"/>
          <c:tx>
            <c:strRef>
              <c:f>DTE_cost_per_minute_forecast!$B$19</c:f>
              <c:strCache>
                <c:ptCount val="1"/>
                <c:pt idx="0">
                  <c:v>Baseline Demand</c:v>
                </c:pt>
              </c:strCache>
            </c:strRef>
          </c:tx>
          <c:spPr>
            <a:ln w="28575" cap="rnd">
              <a:solidFill>
                <a:schemeClr val="accent2"/>
              </a:solidFill>
              <a:round/>
            </a:ln>
            <a:effectLst/>
          </c:spPr>
          <c:marker>
            <c:symbol val="none"/>
          </c:marker>
          <c:cat>
            <c:numRef>
              <c:f>DTE_cost_per_minute_forecast!$C$2:$L$2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DTE_cost_per_minute_forecast!$C$29:$L$29</c:f>
              <c:numCache>
                <c:formatCode>_(* #,##0_);_(* \(#,##0\);_(* "-"??_);_(@_)</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1-CC23-44A7-97BF-2EB7E547CF55}"/>
            </c:ext>
          </c:extLst>
        </c:ser>
        <c:ser>
          <c:idx val="2"/>
          <c:order val="2"/>
          <c:tx>
            <c:strRef>
              <c:f>DTE_cost_per_minute_forecast!$B$37</c:f>
              <c:strCache>
                <c:ptCount val="1"/>
                <c:pt idx="0">
                  <c:v>High Demand</c:v>
                </c:pt>
              </c:strCache>
            </c:strRef>
          </c:tx>
          <c:spPr>
            <a:ln w="28575" cap="rnd">
              <a:solidFill>
                <a:schemeClr val="accent3"/>
              </a:solidFill>
              <a:round/>
            </a:ln>
            <a:effectLst/>
          </c:spPr>
          <c:marker>
            <c:symbol val="none"/>
          </c:marker>
          <c:cat>
            <c:numRef>
              <c:f>DTE_cost_per_minute_forecast!$C$2:$L$2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DTE_cost_per_minute_forecast!$C$47:$L$47</c:f>
              <c:numCache>
                <c:formatCode>_(* #,##0_);_(* \(#,##0\);_(* "-"??_);_(@_)</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2-CC23-44A7-97BF-2EB7E547CF55}"/>
            </c:ext>
          </c:extLst>
        </c:ser>
        <c:dLbls>
          <c:showLegendKey val="0"/>
          <c:showVal val="0"/>
          <c:showCatName val="0"/>
          <c:showSerName val="0"/>
          <c:showPercent val="0"/>
          <c:showBubbleSize val="0"/>
        </c:dLbls>
        <c:smooth val="0"/>
        <c:axId val="377482960"/>
        <c:axId val="377479632"/>
      </c:lineChart>
      <c:catAx>
        <c:axId val="3774829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7479632"/>
        <c:crosses val="autoZero"/>
        <c:auto val="1"/>
        <c:lblAlgn val="ctr"/>
        <c:lblOffset val="100"/>
        <c:noMultiLvlLbl val="0"/>
      </c:catAx>
      <c:valAx>
        <c:axId val="37747963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74829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DTE </a:t>
            </a:r>
            <a:r>
              <a:rPr lang="en-US"/>
              <a:t>Total aggregate cost by scenario </a:t>
            </a:r>
            <a:r>
              <a:rPr lang="en-US" sz="1400" b="0" i="0" u="none" strike="noStrike" baseline="0">
                <a:effectLst/>
              </a:rPr>
              <a:t>(40% profit margin)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DTE_cost_per_minute_forecast!$B$57</c:f>
              <c:strCache>
                <c:ptCount val="1"/>
                <c:pt idx="0">
                  <c:v>Low Demand</c:v>
                </c:pt>
              </c:strCache>
            </c:strRef>
          </c:tx>
          <c:spPr>
            <a:ln w="28575" cap="rnd">
              <a:solidFill>
                <a:schemeClr val="accent1"/>
              </a:solidFill>
              <a:round/>
            </a:ln>
            <a:effectLst/>
          </c:spPr>
          <c:marker>
            <c:symbol val="none"/>
          </c:marke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DTE_cost_per_minute_forecast!$C$67:$L$67</c:f>
              <c:numCache>
                <c:formatCode>_(* #,##0_);_(* \(#,##0\);_(* "-"??_);_(@_)</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0-FE4B-4B46-B4E9-E22FC8910F71}"/>
            </c:ext>
          </c:extLst>
        </c:ser>
        <c:ser>
          <c:idx val="1"/>
          <c:order val="1"/>
          <c:tx>
            <c:strRef>
              <c:f>DTE_cost_per_minute_forecast!$B$75</c:f>
              <c:strCache>
                <c:ptCount val="1"/>
                <c:pt idx="0">
                  <c:v>Baseline Demand</c:v>
                </c:pt>
              </c:strCache>
            </c:strRef>
          </c:tx>
          <c:spPr>
            <a:ln w="28575" cap="rnd">
              <a:solidFill>
                <a:schemeClr val="accent2"/>
              </a:solidFill>
              <a:round/>
            </a:ln>
            <a:effectLst/>
          </c:spPr>
          <c:marker>
            <c:symbol val="none"/>
          </c:marke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DTE_cost_per_minute_forecast!$C$85:$L$85</c:f>
              <c:numCache>
                <c:formatCode>_(* #,##0_);_(* \(#,##0\);_(* "-"??_);_(@_)</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1-FE4B-4B46-B4E9-E22FC8910F71}"/>
            </c:ext>
          </c:extLst>
        </c:ser>
        <c:ser>
          <c:idx val="2"/>
          <c:order val="2"/>
          <c:tx>
            <c:strRef>
              <c:f>DTE_cost_per_minute_forecast!$B$93</c:f>
              <c:strCache>
                <c:ptCount val="1"/>
                <c:pt idx="0">
                  <c:v>High Demand</c:v>
                </c:pt>
              </c:strCache>
            </c:strRef>
          </c:tx>
          <c:spPr>
            <a:ln w="28575" cap="rnd">
              <a:solidFill>
                <a:schemeClr val="accent3"/>
              </a:solidFill>
              <a:round/>
            </a:ln>
            <a:effectLst/>
          </c:spPr>
          <c:marker>
            <c:symbol val="none"/>
          </c:marke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DTE_cost_per_minute_forecast!$C$103:$L$103</c:f>
              <c:numCache>
                <c:formatCode>_(* #,##0_);_(* \(#,##0\);_(* "-"??_);_(@_)</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2-FE4B-4B46-B4E9-E22FC8910F71}"/>
            </c:ext>
          </c:extLst>
        </c:ser>
        <c:dLbls>
          <c:showLegendKey val="0"/>
          <c:showVal val="0"/>
          <c:showCatName val="0"/>
          <c:showSerName val="0"/>
          <c:showPercent val="0"/>
          <c:showBubbleSize val="0"/>
        </c:dLbls>
        <c:smooth val="0"/>
        <c:axId val="377482960"/>
        <c:axId val="377479632"/>
      </c:lineChart>
      <c:catAx>
        <c:axId val="3774829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7479632"/>
        <c:crosses val="autoZero"/>
        <c:auto val="1"/>
        <c:lblAlgn val="ctr"/>
        <c:lblOffset val="100"/>
        <c:noMultiLvlLbl val="0"/>
      </c:catAx>
      <c:valAx>
        <c:axId val="37747963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74829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DTE </a:t>
            </a:r>
            <a:r>
              <a:rPr lang="en-US"/>
              <a:t>Total aggregate cost by scenario </a:t>
            </a:r>
            <a:r>
              <a:rPr lang="en-US" sz="1400" b="0" i="0" u="none" strike="noStrike" baseline="0">
                <a:effectLst/>
              </a:rPr>
              <a:t>(60% profit margin)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DTE_cost_per_minute_forecast!$B$113</c:f>
              <c:strCache>
                <c:ptCount val="1"/>
                <c:pt idx="0">
                  <c:v>Low Demand</c:v>
                </c:pt>
              </c:strCache>
            </c:strRef>
          </c:tx>
          <c:spPr>
            <a:ln w="28575" cap="rnd">
              <a:solidFill>
                <a:schemeClr val="accent1"/>
              </a:solidFill>
              <a:round/>
            </a:ln>
            <a:effectLst/>
          </c:spPr>
          <c:marker>
            <c:symbol val="none"/>
          </c:marker>
          <c:cat>
            <c:numRef>
              <c:f>DTE_cost_per_minute_forecast!$C$132:$L$132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DTE_cost_per_minute_forecast!$C$123:$L$123</c:f>
              <c:numCache>
                <c:formatCode>_(* #,##0_);_(* \(#,##0\);_(* "-"??_);_(@_)</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0-2008-418A-A723-AF83794B2BB7}"/>
            </c:ext>
          </c:extLst>
        </c:ser>
        <c:ser>
          <c:idx val="1"/>
          <c:order val="1"/>
          <c:tx>
            <c:strRef>
              <c:f>DTE_cost_per_minute_forecast!$B$131</c:f>
              <c:strCache>
                <c:ptCount val="1"/>
                <c:pt idx="0">
                  <c:v>Baseline Demand</c:v>
                </c:pt>
              </c:strCache>
            </c:strRef>
          </c:tx>
          <c:spPr>
            <a:ln w="28575" cap="rnd">
              <a:solidFill>
                <a:schemeClr val="accent2"/>
              </a:solidFill>
              <a:round/>
            </a:ln>
            <a:effectLst/>
          </c:spPr>
          <c:marker>
            <c:symbol val="none"/>
          </c:marker>
          <c:cat>
            <c:numRef>
              <c:f>DTE_cost_per_minute_forecast!$C$132:$L$132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DTE_cost_per_minute_forecast!$C$141:$L$141</c:f>
              <c:numCache>
                <c:formatCode>_(* #,##0_);_(* \(#,##0\);_(* "-"??_);_(@_)</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1-2008-418A-A723-AF83794B2BB7}"/>
            </c:ext>
          </c:extLst>
        </c:ser>
        <c:ser>
          <c:idx val="2"/>
          <c:order val="2"/>
          <c:tx>
            <c:strRef>
              <c:f>DTE_cost_per_minute_forecast!$B$149</c:f>
              <c:strCache>
                <c:ptCount val="1"/>
                <c:pt idx="0">
                  <c:v>High Demand</c:v>
                </c:pt>
              </c:strCache>
            </c:strRef>
          </c:tx>
          <c:spPr>
            <a:ln w="28575" cap="rnd">
              <a:solidFill>
                <a:schemeClr val="accent3"/>
              </a:solidFill>
              <a:round/>
            </a:ln>
            <a:effectLst/>
          </c:spPr>
          <c:marker>
            <c:symbol val="none"/>
          </c:marker>
          <c:cat>
            <c:numRef>
              <c:f>DTE_cost_per_minute_forecast!$C$132:$L$132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DTE_cost_per_minute_forecast!$C$159:$L$159</c:f>
              <c:numCache>
                <c:formatCode>_(* #,##0_);_(* \(#,##0\);_(* "-"??_);_(@_)</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2-2008-418A-A723-AF83794B2BB7}"/>
            </c:ext>
          </c:extLst>
        </c:ser>
        <c:dLbls>
          <c:showLegendKey val="0"/>
          <c:showVal val="0"/>
          <c:showCatName val="0"/>
          <c:showSerName val="0"/>
          <c:showPercent val="0"/>
          <c:showBubbleSize val="0"/>
        </c:dLbls>
        <c:smooth val="0"/>
        <c:axId val="377482960"/>
        <c:axId val="377479632"/>
      </c:lineChart>
      <c:catAx>
        <c:axId val="3774829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7479632"/>
        <c:crosses val="autoZero"/>
        <c:auto val="1"/>
        <c:lblAlgn val="ctr"/>
        <c:lblOffset val="100"/>
        <c:noMultiLvlLbl val="0"/>
      </c:catAx>
      <c:valAx>
        <c:axId val="37747963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74829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DTE </a:t>
            </a:r>
            <a:r>
              <a:rPr lang="en-US"/>
              <a:t>Total aggregate cost by scenario </a:t>
            </a:r>
            <a:r>
              <a:rPr lang="en-US" sz="1400" b="0" i="0" u="none" strike="noStrike" baseline="0">
                <a:effectLst/>
              </a:rPr>
              <a:t>(80% profit margin)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DTE_cost_per_minute_forecast!$B$169</c:f>
              <c:strCache>
                <c:ptCount val="1"/>
                <c:pt idx="0">
                  <c:v>Low Demand</c:v>
                </c:pt>
              </c:strCache>
            </c:strRef>
          </c:tx>
          <c:spPr>
            <a:ln w="28575" cap="rnd">
              <a:solidFill>
                <a:schemeClr val="accent1"/>
              </a:solidFill>
              <a:round/>
            </a:ln>
            <a:effectLst/>
          </c:spPr>
          <c:marker>
            <c:symbol val="none"/>
          </c:marker>
          <c:cat>
            <c:numRef>
              <c:f>DTE_cost_per_minute_forecast!$C$170:$L$170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DTE_cost_per_minute_forecast!$C$179:$L$179</c:f>
              <c:numCache>
                <c:formatCode>_(* #,##0_);_(* \(#,##0\);_(* "-"??_);_(@_)</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0-94CA-4DAF-A6CC-119A5EC9C243}"/>
            </c:ext>
          </c:extLst>
        </c:ser>
        <c:ser>
          <c:idx val="1"/>
          <c:order val="1"/>
          <c:tx>
            <c:strRef>
              <c:f>DTE_cost_per_minute_forecast!$B$187</c:f>
              <c:strCache>
                <c:ptCount val="1"/>
                <c:pt idx="0">
                  <c:v>Baseline Demand</c:v>
                </c:pt>
              </c:strCache>
            </c:strRef>
          </c:tx>
          <c:spPr>
            <a:ln w="28575" cap="rnd">
              <a:solidFill>
                <a:schemeClr val="accent2"/>
              </a:solidFill>
              <a:round/>
            </a:ln>
            <a:effectLst/>
          </c:spPr>
          <c:marker>
            <c:symbol val="none"/>
          </c:marker>
          <c:cat>
            <c:numRef>
              <c:f>DTE_cost_per_minute_forecast!$C$170:$L$170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DTE_cost_per_minute_forecast!$C$197:$L$197</c:f>
              <c:numCache>
                <c:formatCode>_(* #,##0_);_(* \(#,##0\);_(* "-"??_);_(@_)</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1-94CA-4DAF-A6CC-119A5EC9C243}"/>
            </c:ext>
          </c:extLst>
        </c:ser>
        <c:ser>
          <c:idx val="2"/>
          <c:order val="2"/>
          <c:tx>
            <c:strRef>
              <c:f>DTE_cost_per_minute_forecast!$B$205</c:f>
              <c:strCache>
                <c:ptCount val="1"/>
                <c:pt idx="0">
                  <c:v>High Demand</c:v>
                </c:pt>
              </c:strCache>
            </c:strRef>
          </c:tx>
          <c:spPr>
            <a:ln w="28575" cap="rnd">
              <a:solidFill>
                <a:schemeClr val="accent3"/>
              </a:solidFill>
              <a:round/>
            </a:ln>
            <a:effectLst/>
          </c:spPr>
          <c:marker>
            <c:symbol val="none"/>
          </c:marker>
          <c:cat>
            <c:numRef>
              <c:f>DTE_cost_per_minute_forecast!$C$170:$L$170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DTE_cost_per_minute_forecast!$C$215:$L$215</c:f>
              <c:numCache>
                <c:formatCode>_(* #,##0_);_(* \(#,##0\);_(* "-"??_);_(@_)</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2-94CA-4DAF-A6CC-119A5EC9C243}"/>
            </c:ext>
          </c:extLst>
        </c:ser>
        <c:dLbls>
          <c:showLegendKey val="0"/>
          <c:showVal val="0"/>
          <c:showCatName val="0"/>
          <c:showSerName val="0"/>
          <c:showPercent val="0"/>
          <c:showBubbleSize val="0"/>
        </c:dLbls>
        <c:smooth val="0"/>
        <c:axId val="377482960"/>
        <c:axId val="377479632"/>
      </c:lineChart>
      <c:catAx>
        <c:axId val="3774829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7479632"/>
        <c:crosses val="autoZero"/>
        <c:auto val="1"/>
        <c:lblAlgn val="ctr"/>
        <c:lblOffset val="100"/>
        <c:noMultiLvlLbl val="0"/>
      </c:catAx>
      <c:valAx>
        <c:axId val="37747963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74829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SR </a:t>
            </a:r>
            <a:r>
              <a:rPr lang="en-US"/>
              <a:t>Total aggregate cost by scenario (20%</a:t>
            </a:r>
            <a:r>
              <a:rPr lang="en-US" baseline="0"/>
              <a:t> profit margin)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SR_cost_per_minute_forecast!$B$1</c:f>
              <c:strCache>
                <c:ptCount val="1"/>
                <c:pt idx="0">
                  <c:v>Low Demand</c:v>
                </c:pt>
              </c:strCache>
            </c:strRef>
          </c:tx>
          <c:spPr>
            <a:ln w="28575" cap="rnd">
              <a:solidFill>
                <a:schemeClr val="accent1"/>
              </a:solidFill>
              <a:round/>
            </a:ln>
            <a:effectLst/>
          </c:spPr>
          <c:marker>
            <c:symbol val="none"/>
          </c:marker>
          <c:cat>
            <c:numRef>
              <c:f>SR_cost_per_minute_forecast!$C$2:$L$2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SR_cost_per_minute_forecast!$C$11:$L$11</c:f>
              <c:numCache>
                <c:formatCode>_(* #,##0_);_(* \(#,##0\);_(* "-"??_);_(@_)</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0-8063-4327-9ACC-765ED19ADFAC}"/>
            </c:ext>
          </c:extLst>
        </c:ser>
        <c:ser>
          <c:idx val="1"/>
          <c:order val="1"/>
          <c:tx>
            <c:strRef>
              <c:f>SR_cost_per_minute_forecast!$B$19</c:f>
              <c:strCache>
                <c:ptCount val="1"/>
                <c:pt idx="0">
                  <c:v>Baseline Demand</c:v>
                </c:pt>
              </c:strCache>
            </c:strRef>
          </c:tx>
          <c:spPr>
            <a:ln w="28575" cap="rnd">
              <a:solidFill>
                <a:schemeClr val="accent2"/>
              </a:solidFill>
              <a:round/>
            </a:ln>
            <a:effectLst/>
          </c:spPr>
          <c:marker>
            <c:symbol val="none"/>
          </c:marker>
          <c:cat>
            <c:numRef>
              <c:f>SR_cost_per_minute_forecast!$C$2:$L$2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SR_cost_per_minute_forecast!$C$29:$L$29</c:f>
              <c:numCache>
                <c:formatCode>_(* #,##0_);_(* \(#,##0\);_(* "-"??_);_(@_)</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1-8063-4327-9ACC-765ED19ADFAC}"/>
            </c:ext>
          </c:extLst>
        </c:ser>
        <c:ser>
          <c:idx val="2"/>
          <c:order val="2"/>
          <c:tx>
            <c:strRef>
              <c:f>SR_cost_per_minute_forecast!$B$37</c:f>
              <c:strCache>
                <c:ptCount val="1"/>
                <c:pt idx="0">
                  <c:v>High Demand</c:v>
                </c:pt>
              </c:strCache>
            </c:strRef>
          </c:tx>
          <c:spPr>
            <a:ln w="28575" cap="rnd">
              <a:solidFill>
                <a:schemeClr val="accent3"/>
              </a:solidFill>
              <a:round/>
            </a:ln>
            <a:effectLst/>
          </c:spPr>
          <c:marker>
            <c:symbol val="none"/>
          </c:marker>
          <c:cat>
            <c:numRef>
              <c:f>SR_cost_per_minute_forecast!$C$2:$L$2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SR_cost_per_minute_forecast!$C$47:$L$47</c:f>
              <c:numCache>
                <c:formatCode>_(* #,##0_);_(* \(#,##0\);_(* "-"??_);_(@_)</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2-8063-4327-9ACC-765ED19ADFAC}"/>
            </c:ext>
          </c:extLst>
        </c:ser>
        <c:dLbls>
          <c:showLegendKey val="0"/>
          <c:showVal val="0"/>
          <c:showCatName val="0"/>
          <c:showSerName val="0"/>
          <c:showPercent val="0"/>
          <c:showBubbleSize val="0"/>
        </c:dLbls>
        <c:smooth val="0"/>
        <c:axId val="377482960"/>
        <c:axId val="377479632"/>
      </c:lineChart>
      <c:catAx>
        <c:axId val="3774829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7479632"/>
        <c:crosses val="autoZero"/>
        <c:auto val="1"/>
        <c:lblAlgn val="ctr"/>
        <c:lblOffset val="100"/>
        <c:noMultiLvlLbl val="0"/>
      </c:catAx>
      <c:valAx>
        <c:axId val="37747963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74829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aggregate cost by scenario </a:t>
            </a:r>
            <a:r>
              <a:rPr lang="en-US" sz="1400" b="0" i="0" u="none" strike="noStrike" baseline="0">
                <a:effectLst/>
              </a:rPr>
              <a:t>(40% profit margin)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SR_cost_per_minute_forecast!$B$57</c:f>
              <c:strCache>
                <c:ptCount val="1"/>
                <c:pt idx="0">
                  <c:v>Low Demand</c:v>
                </c:pt>
              </c:strCache>
            </c:strRef>
          </c:tx>
          <c:spPr>
            <a:ln w="28575" cap="rnd">
              <a:solidFill>
                <a:schemeClr val="accent1"/>
              </a:solidFill>
              <a:round/>
            </a:ln>
            <a:effectLst/>
          </c:spPr>
          <c:marker>
            <c:symbol val="none"/>
          </c:marke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SR_cost_per_minute_forecast!$C$67:$L$67</c:f>
              <c:numCache>
                <c:formatCode>_(* #,##0_);_(* \(#,##0\);_(* "-"??_);_(@_)</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0-A2E2-418E-B461-39DD7D25E4E3}"/>
            </c:ext>
          </c:extLst>
        </c:ser>
        <c:ser>
          <c:idx val="1"/>
          <c:order val="1"/>
          <c:tx>
            <c:strRef>
              <c:f>SR_cost_per_minute_forecast!$B$75</c:f>
              <c:strCache>
                <c:ptCount val="1"/>
                <c:pt idx="0">
                  <c:v>Baseline Demand</c:v>
                </c:pt>
              </c:strCache>
            </c:strRef>
          </c:tx>
          <c:spPr>
            <a:ln w="28575" cap="rnd">
              <a:solidFill>
                <a:schemeClr val="accent2"/>
              </a:solidFill>
              <a:round/>
            </a:ln>
            <a:effectLst/>
          </c:spPr>
          <c:marker>
            <c:symbol val="none"/>
          </c:marke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SR_cost_per_minute_forecast!$C$85:$L$85</c:f>
              <c:numCache>
                <c:formatCode>_(* #,##0_);_(* \(#,##0\);_(* "-"??_);_(@_)</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1-A2E2-418E-B461-39DD7D25E4E3}"/>
            </c:ext>
          </c:extLst>
        </c:ser>
        <c:ser>
          <c:idx val="2"/>
          <c:order val="2"/>
          <c:tx>
            <c:strRef>
              <c:f>SR_cost_per_minute_forecast!$B$93</c:f>
              <c:strCache>
                <c:ptCount val="1"/>
                <c:pt idx="0">
                  <c:v>High Demand</c:v>
                </c:pt>
              </c:strCache>
            </c:strRef>
          </c:tx>
          <c:spPr>
            <a:ln w="28575" cap="rnd">
              <a:solidFill>
                <a:schemeClr val="accent3"/>
              </a:solidFill>
              <a:round/>
            </a:ln>
            <a:effectLst/>
          </c:spPr>
          <c:marker>
            <c:symbol val="none"/>
          </c:marke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SR_cost_per_minute_forecast!$C$103:$L$103</c:f>
              <c:numCache>
                <c:formatCode>_(* #,##0_);_(* \(#,##0\);_(* "-"??_);_(@_)</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2-A2E2-418E-B461-39DD7D25E4E3}"/>
            </c:ext>
          </c:extLst>
        </c:ser>
        <c:dLbls>
          <c:showLegendKey val="0"/>
          <c:showVal val="0"/>
          <c:showCatName val="0"/>
          <c:showSerName val="0"/>
          <c:showPercent val="0"/>
          <c:showBubbleSize val="0"/>
        </c:dLbls>
        <c:smooth val="0"/>
        <c:axId val="377482960"/>
        <c:axId val="377479632"/>
      </c:lineChart>
      <c:catAx>
        <c:axId val="3774829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7479632"/>
        <c:crosses val="autoZero"/>
        <c:auto val="1"/>
        <c:lblAlgn val="ctr"/>
        <c:lblOffset val="100"/>
        <c:noMultiLvlLbl val="0"/>
      </c:catAx>
      <c:valAx>
        <c:axId val="37747963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74829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SR Total aggregate cost by scenario </a:t>
            </a:r>
            <a:r>
              <a:rPr lang="en-US" sz="1400" b="0" i="0" u="none" strike="noStrike" baseline="0">
                <a:effectLst/>
              </a:rPr>
              <a:t>(60% profit margin)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SR_cost_per_minute_forecast!$B$113</c:f>
              <c:strCache>
                <c:ptCount val="1"/>
                <c:pt idx="0">
                  <c:v>Low Demand</c:v>
                </c:pt>
              </c:strCache>
            </c:strRef>
          </c:tx>
          <c:spPr>
            <a:ln w="28575" cap="rnd">
              <a:solidFill>
                <a:schemeClr val="accent1"/>
              </a:solidFill>
              <a:round/>
            </a:ln>
            <a:effectLst/>
          </c:spPr>
          <c:marker>
            <c:symbol val="none"/>
          </c:marker>
          <c:cat>
            <c:numRef>
              <c:f>SR_cost_per_minute_forecast!$C$132:$L$132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SR_cost_per_minute_forecast!$C$123:$L$123</c:f>
              <c:numCache>
                <c:formatCode>_(* #,##0_);_(* \(#,##0\);_(* "-"??_);_(@_)</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0-CDBB-4BF4-A8BE-BE0CD11C7085}"/>
            </c:ext>
          </c:extLst>
        </c:ser>
        <c:ser>
          <c:idx val="1"/>
          <c:order val="1"/>
          <c:tx>
            <c:strRef>
              <c:f>SR_cost_per_minute_forecast!$B$131</c:f>
              <c:strCache>
                <c:ptCount val="1"/>
                <c:pt idx="0">
                  <c:v>Baseline Demand</c:v>
                </c:pt>
              </c:strCache>
            </c:strRef>
          </c:tx>
          <c:spPr>
            <a:ln w="28575" cap="rnd">
              <a:solidFill>
                <a:schemeClr val="accent2"/>
              </a:solidFill>
              <a:round/>
            </a:ln>
            <a:effectLst/>
          </c:spPr>
          <c:marker>
            <c:symbol val="none"/>
          </c:marker>
          <c:cat>
            <c:numRef>
              <c:f>SR_cost_per_minute_forecast!$C$132:$L$132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SR_cost_per_minute_forecast!$C$141:$L$141</c:f>
              <c:numCache>
                <c:formatCode>_(* #,##0_);_(* \(#,##0\);_(* "-"??_);_(@_)</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1-CDBB-4BF4-A8BE-BE0CD11C7085}"/>
            </c:ext>
          </c:extLst>
        </c:ser>
        <c:ser>
          <c:idx val="2"/>
          <c:order val="2"/>
          <c:tx>
            <c:strRef>
              <c:f>SR_cost_per_minute_forecast!$B$149</c:f>
              <c:strCache>
                <c:ptCount val="1"/>
                <c:pt idx="0">
                  <c:v>High Demand</c:v>
                </c:pt>
              </c:strCache>
            </c:strRef>
          </c:tx>
          <c:spPr>
            <a:ln w="28575" cap="rnd">
              <a:solidFill>
                <a:schemeClr val="accent3"/>
              </a:solidFill>
              <a:round/>
            </a:ln>
            <a:effectLst/>
          </c:spPr>
          <c:marker>
            <c:symbol val="none"/>
          </c:marker>
          <c:cat>
            <c:numRef>
              <c:f>SR_cost_per_minute_forecast!$C$132:$L$132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SR_cost_per_minute_forecast!$C$159:$L$159</c:f>
              <c:numCache>
                <c:formatCode>_(* #,##0_);_(* \(#,##0\);_(* "-"??_);_(@_)</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2-CDBB-4BF4-A8BE-BE0CD11C7085}"/>
            </c:ext>
          </c:extLst>
        </c:ser>
        <c:dLbls>
          <c:showLegendKey val="0"/>
          <c:showVal val="0"/>
          <c:showCatName val="0"/>
          <c:showSerName val="0"/>
          <c:showPercent val="0"/>
          <c:showBubbleSize val="0"/>
        </c:dLbls>
        <c:smooth val="0"/>
        <c:axId val="377482960"/>
        <c:axId val="377479632"/>
      </c:lineChart>
      <c:catAx>
        <c:axId val="3774829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7479632"/>
        <c:crosses val="autoZero"/>
        <c:auto val="1"/>
        <c:lblAlgn val="ctr"/>
        <c:lblOffset val="100"/>
        <c:noMultiLvlLbl val="0"/>
      </c:catAx>
      <c:valAx>
        <c:axId val="37747963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74829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SR </a:t>
            </a:r>
            <a:r>
              <a:rPr lang="en-US"/>
              <a:t>Total aggregate cost by scenario </a:t>
            </a:r>
            <a:r>
              <a:rPr lang="en-US" sz="1400" b="0" i="0" u="none" strike="noStrike" baseline="0">
                <a:effectLst/>
              </a:rPr>
              <a:t>(80% profit margin)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SR_cost_per_minute_forecast!$B$169</c:f>
              <c:strCache>
                <c:ptCount val="1"/>
                <c:pt idx="0">
                  <c:v>Low Demand</c:v>
                </c:pt>
              </c:strCache>
            </c:strRef>
          </c:tx>
          <c:spPr>
            <a:ln w="28575" cap="rnd">
              <a:solidFill>
                <a:schemeClr val="accent1"/>
              </a:solidFill>
              <a:round/>
            </a:ln>
            <a:effectLst/>
          </c:spPr>
          <c:marker>
            <c:symbol val="none"/>
          </c:marker>
          <c:cat>
            <c:numRef>
              <c:f>SR_cost_per_minute_forecast!$C$170:$L$170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SR_cost_per_minute_forecast!$C$179:$L$179</c:f>
              <c:numCache>
                <c:formatCode>_(* #,##0_);_(* \(#,##0\);_(* "-"??_);_(@_)</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0-3638-4B3F-BE1B-149980EF31A0}"/>
            </c:ext>
          </c:extLst>
        </c:ser>
        <c:ser>
          <c:idx val="1"/>
          <c:order val="1"/>
          <c:tx>
            <c:strRef>
              <c:f>SR_cost_per_minute_forecast!$B$187</c:f>
              <c:strCache>
                <c:ptCount val="1"/>
                <c:pt idx="0">
                  <c:v>Baseline Demand</c:v>
                </c:pt>
              </c:strCache>
            </c:strRef>
          </c:tx>
          <c:spPr>
            <a:ln w="28575" cap="rnd">
              <a:solidFill>
                <a:schemeClr val="accent2"/>
              </a:solidFill>
              <a:round/>
            </a:ln>
            <a:effectLst/>
          </c:spPr>
          <c:marker>
            <c:symbol val="none"/>
          </c:marker>
          <c:cat>
            <c:numRef>
              <c:f>SR_cost_per_minute_forecast!$C$170:$L$170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SR_cost_per_minute_forecast!$C$197:$L$197</c:f>
              <c:numCache>
                <c:formatCode>_(* #,##0_);_(* \(#,##0\);_(* "-"??_);_(@_)</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1-3638-4B3F-BE1B-149980EF31A0}"/>
            </c:ext>
          </c:extLst>
        </c:ser>
        <c:ser>
          <c:idx val="2"/>
          <c:order val="2"/>
          <c:tx>
            <c:strRef>
              <c:f>SR_cost_per_minute_forecast!$B$205</c:f>
              <c:strCache>
                <c:ptCount val="1"/>
                <c:pt idx="0">
                  <c:v>High Demand</c:v>
                </c:pt>
              </c:strCache>
            </c:strRef>
          </c:tx>
          <c:spPr>
            <a:ln w="28575" cap="rnd">
              <a:solidFill>
                <a:schemeClr val="accent3"/>
              </a:solidFill>
              <a:round/>
            </a:ln>
            <a:effectLst/>
          </c:spPr>
          <c:marker>
            <c:symbol val="none"/>
          </c:marker>
          <c:cat>
            <c:numRef>
              <c:f>SR_cost_per_minute_forecast!$C$170:$L$170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SR_cost_per_minute_forecast!$C$215:$L$215</c:f>
              <c:numCache>
                <c:formatCode>_(* #,##0_);_(* \(#,##0\);_(* "-"??_);_(@_)</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2-3638-4B3F-BE1B-149980EF31A0}"/>
            </c:ext>
          </c:extLst>
        </c:ser>
        <c:dLbls>
          <c:showLegendKey val="0"/>
          <c:showVal val="0"/>
          <c:showCatName val="0"/>
          <c:showSerName val="0"/>
          <c:showPercent val="0"/>
          <c:showBubbleSize val="0"/>
        </c:dLbls>
        <c:smooth val="0"/>
        <c:axId val="377482960"/>
        <c:axId val="377479632"/>
      </c:lineChart>
      <c:catAx>
        <c:axId val="3774829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7479632"/>
        <c:crosses val="autoZero"/>
        <c:auto val="1"/>
        <c:lblAlgn val="ctr"/>
        <c:lblOffset val="100"/>
        <c:noMultiLvlLbl val="0"/>
      </c:catAx>
      <c:valAx>
        <c:axId val="37747963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74829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pn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4.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5" Type="http://schemas.openxmlformats.org/officeDocument/2006/relationships/chart" Target="../charts/chart11.xml"/><Relationship Id="rId4" Type="http://schemas.openxmlformats.org/officeDocument/2006/relationships/chart" Target="../charts/chart10.xml"/></Relationships>
</file>

<file path=xl/drawings/_rels/drawing5.xml.rels><?xml version="1.0" encoding="UTF-8" standalone="yes"?>
<Relationships xmlns="http://schemas.openxmlformats.org/package/2006/relationships"><Relationship Id="rId3" Type="http://schemas.openxmlformats.org/officeDocument/2006/relationships/chart" Target="../charts/chart14.xml"/><Relationship Id="rId2" Type="http://schemas.openxmlformats.org/officeDocument/2006/relationships/chart" Target="../charts/chart13.xml"/><Relationship Id="rId1" Type="http://schemas.openxmlformats.org/officeDocument/2006/relationships/chart" Target="../charts/chart12.xml"/><Relationship Id="rId5" Type="http://schemas.openxmlformats.org/officeDocument/2006/relationships/chart" Target="../charts/chart16.xml"/><Relationship Id="rId4" Type="http://schemas.openxmlformats.org/officeDocument/2006/relationships/chart" Target="../charts/chart15.xml"/></Relationships>
</file>

<file path=xl/drawings/_rels/drawing6.xml.rels><?xml version="1.0" encoding="UTF-8" standalone="yes"?>
<Relationships xmlns="http://schemas.openxmlformats.org/package/2006/relationships"><Relationship Id="rId3" Type="http://schemas.openxmlformats.org/officeDocument/2006/relationships/chart" Target="../charts/chart19.xml"/><Relationship Id="rId2" Type="http://schemas.openxmlformats.org/officeDocument/2006/relationships/chart" Target="../charts/chart18.xml"/><Relationship Id="rId1" Type="http://schemas.openxmlformats.org/officeDocument/2006/relationships/chart" Target="../charts/chart17.xml"/><Relationship Id="rId5" Type="http://schemas.openxmlformats.org/officeDocument/2006/relationships/chart" Target="../charts/chart21.xml"/><Relationship Id="rId4" Type="http://schemas.openxmlformats.org/officeDocument/2006/relationships/chart" Target="../charts/chart20.xml"/></Relationships>
</file>

<file path=xl/drawings/_rels/drawing7.xml.rels><?xml version="1.0" encoding="UTF-8" standalone="yes"?>
<Relationships xmlns="http://schemas.openxmlformats.org/package/2006/relationships"><Relationship Id="rId3" Type="http://schemas.openxmlformats.org/officeDocument/2006/relationships/chart" Target="../charts/chart24.xml"/><Relationship Id="rId2" Type="http://schemas.openxmlformats.org/officeDocument/2006/relationships/chart" Target="../charts/chart23.xml"/><Relationship Id="rId1" Type="http://schemas.openxmlformats.org/officeDocument/2006/relationships/chart" Target="../charts/chart22.xml"/><Relationship Id="rId6" Type="http://schemas.openxmlformats.org/officeDocument/2006/relationships/chart" Target="../charts/chart27.xml"/><Relationship Id="rId5" Type="http://schemas.openxmlformats.org/officeDocument/2006/relationships/chart" Target="../charts/chart26.xml"/><Relationship Id="rId4" Type="http://schemas.openxmlformats.org/officeDocument/2006/relationships/chart" Target="../charts/chart25.xml"/></Relationships>
</file>

<file path=xl/drawings/_rels/drawing8.xml.rels><?xml version="1.0" encoding="UTF-8" standalone="yes"?>
<Relationships xmlns="http://schemas.openxmlformats.org/package/2006/relationships"><Relationship Id="rId3" Type="http://schemas.openxmlformats.org/officeDocument/2006/relationships/chart" Target="../charts/chart30.xml"/><Relationship Id="rId2" Type="http://schemas.openxmlformats.org/officeDocument/2006/relationships/chart" Target="../charts/chart29.xml"/><Relationship Id="rId1" Type="http://schemas.openxmlformats.org/officeDocument/2006/relationships/chart" Target="../charts/chart28.xml"/><Relationship Id="rId6" Type="http://schemas.openxmlformats.org/officeDocument/2006/relationships/chart" Target="../charts/chart33.xml"/><Relationship Id="rId5" Type="http://schemas.openxmlformats.org/officeDocument/2006/relationships/chart" Target="../charts/chart32.xml"/><Relationship Id="rId4" Type="http://schemas.openxmlformats.org/officeDocument/2006/relationships/chart" Target="../charts/chart31.xml"/></Relationships>
</file>

<file path=xl/drawings/_rels/drawing9.xml.rels><?xml version="1.0" encoding="UTF-8" standalone="yes"?>
<Relationships xmlns="http://schemas.openxmlformats.org/package/2006/relationships"><Relationship Id="rId3" Type="http://schemas.openxmlformats.org/officeDocument/2006/relationships/chart" Target="../charts/chart36.xml"/><Relationship Id="rId2" Type="http://schemas.openxmlformats.org/officeDocument/2006/relationships/chart" Target="../charts/chart35.xml"/><Relationship Id="rId1" Type="http://schemas.openxmlformats.org/officeDocument/2006/relationships/chart" Target="../charts/chart34.xml"/><Relationship Id="rId6" Type="http://schemas.openxmlformats.org/officeDocument/2006/relationships/chart" Target="../charts/chart39.xml"/><Relationship Id="rId5" Type="http://schemas.openxmlformats.org/officeDocument/2006/relationships/chart" Target="../charts/chart38.xml"/><Relationship Id="rId4" Type="http://schemas.openxmlformats.org/officeDocument/2006/relationships/chart" Target="../charts/chart37.xml"/></Relationships>
</file>

<file path=xl/drawings/_rels/drawing10.xml.rels><?xml version="1.0" encoding="UTF-8" standalone="yes"?>
<Relationships xmlns="http://schemas.openxmlformats.org/package/2006/relationships"><Relationship Id="rId3" Type="http://schemas.openxmlformats.org/officeDocument/2006/relationships/chart" Target="../charts/chart42.xml"/><Relationship Id="rId2" Type="http://schemas.openxmlformats.org/officeDocument/2006/relationships/chart" Target="../charts/chart41.xml"/><Relationship Id="rId1" Type="http://schemas.openxmlformats.org/officeDocument/2006/relationships/chart" Target="../charts/chart40.xml"/><Relationship Id="rId4" Type="http://schemas.openxmlformats.org/officeDocument/2006/relationships/chart" Target="../charts/chart43.xml"/></Relationships>
</file>

<file path=xl/drawings/_rels/drawing11.xml.rels><?xml version="1.0" encoding="UTF-8" standalone="yes"?>
<Relationships xmlns="http://schemas.openxmlformats.org/package/2006/relationships"><Relationship Id="rId3" Type="http://schemas.openxmlformats.org/officeDocument/2006/relationships/chart" Target="../charts/chart46.xml"/><Relationship Id="rId2" Type="http://schemas.openxmlformats.org/officeDocument/2006/relationships/chart" Target="../charts/chart45.xml"/><Relationship Id="rId1" Type="http://schemas.openxmlformats.org/officeDocument/2006/relationships/chart" Target="../charts/chart44.xml"/></Relationships>
</file>

<file path=xl/drawings/_rels/drawing12.xml.rels><?xml version="1.0" encoding="UTF-8" standalone="yes"?>
<Relationships xmlns="http://schemas.openxmlformats.org/package/2006/relationships"><Relationship Id="rId8" Type="http://schemas.openxmlformats.org/officeDocument/2006/relationships/chart" Target="../charts/chart54.xml"/><Relationship Id="rId13" Type="http://schemas.openxmlformats.org/officeDocument/2006/relationships/chart" Target="../charts/chart59.xml"/><Relationship Id="rId3" Type="http://schemas.openxmlformats.org/officeDocument/2006/relationships/chart" Target="../charts/chart49.xml"/><Relationship Id="rId7" Type="http://schemas.openxmlformats.org/officeDocument/2006/relationships/chart" Target="../charts/chart53.xml"/><Relationship Id="rId12" Type="http://schemas.openxmlformats.org/officeDocument/2006/relationships/chart" Target="../charts/chart58.xml"/><Relationship Id="rId2" Type="http://schemas.openxmlformats.org/officeDocument/2006/relationships/chart" Target="../charts/chart48.xml"/><Relationship Id="rId16" Type="http://schemas.openxmlformats.org/officeDocument/2006/relationships/chart" Target="../charts/chart62.xml"/><Relationship Id="rId1" Type="http://schemas.openxmlformats.org/officeDocument/2006/relationships/chart" Target="../charts/chart47.xml"/><Relationship Id="rId6" Type="http://schemas.openxmlformats.org/officeDocument/2006/relationships/chart" Target="../charts/chart52.xml"/><Relationship Id="rId11" Type="http://schemas.openxmlformats.org/officeDocument/2006/relationships/chart" Target="../charts/chart57.xml"/><Relationship Id="rId5" Type="http://schemas.openxmlformats.org/officeDocument/2006/relationships/chart" Target="../charts/chart51.xml"/><Relationship Id="rId15" Type="http://schemas.openxmlformats.org/officeDocument/2006/relationships/chart" Target="../charts/chart61.xml"/><Relationship Id="rId10" Type="http://schemas.openxmlformats.org/officeDocument/2006/relationships/chart" Target="../charts/chart56.xml"/><Relationship Id="rId4" Type="http://schemas.openxmlformats.org/officeDocument/2006/relationships/chart" Target="../charts/chart50.xml"/><Relationship Id="rId9" Type="http://schemas.openxmlformats.org/officeDocument/2006/relationships/chart" Target="../charts/chart55.xml"/><Relationship Id="rId14" Type="http://schemas.openxmlformats.org/officeDocument/2006/relationships/chart" Target="../charts/chart60.xml"/></Relationships>
</file>

<file path=xl/drawings/_rels/drawing13.xml.rels><?xml version="1.0" encoding="UTF-8" standalone="yes"?>
<Relationships xmlns="http://schemas.openxmlformats.org/package/2006/relationships"><Relationship Id="rId8" Type="http://schemas.openxmlformats.org/officeDocument/2006/relationships/chart" Target="../charts/chart70.xml"/><Relationship Id="rId13" Type="http://schemas.openxmlformats.org/officeDocument/2006/relationships/chart" Target="../charts/chart75.xml"/><Relationship Id="rId3" Type="http://schemas.openxmlformats.org/officeDocument/2006/relationships/chart" Target="../charts/chart65.xml"/><Relationship Id="rId7" Type="http://schemas.openxmlformats.org/officeDocument/2006/relationships/chart" Target="../charts/chart69.xml"/><Relationship Id="rId12" Type="http://schemas.openxmlformats.org/officeDocument/2006/relationships/chart" Target="../charts/chart74.xml"/><Relationship Id="rId2" Type="http://schemas.openxmlformats.org/officeDocument/2006/relationships/chart" Target="../charts/chart64.xml"/><Relationship Id="rId16" Type="http://schemas.openxmlformats.org/officeDocument/2006/relationships/chart" Target="../charts/chart78.xml"/><Relationship Id="rId1" Type="http://schemas.openxmlformats.org/officeDocument/2006/relationships/chart" Target="../charts/chart63.xml"/><Relationship Id="rId6" Type="http://schemas.openxmlformats.org/officeDocument/2006/relationships/chart" Target="../charts/chart68.xml"/><Relationship Id="rId11" Type="http://schemas.openxmlformats.org/officeDocument/2006/relationships/chart" Target="../charts/chart73.xml"/><Relationship Id="rId5" Type="http://schemas.openxmlformats.org/officeDocument/2006/relationships/chart" Target="../charts/chart67.xml"/><Relationship Id="rId15" Type="http://schemas.openxmlformats.org/officeDocument/2006/relationships/chart" Target="../charts/chart77.xml"/><Relationship Id="rId10" Type="http://schemas.openxmlformats.org/officeDocument/2006/relationships/chart" Target="../charts/chart72.xml"/><Relationship Id="rId4" Type="http://schemas.openxmlformats.org/officeDocument/2006/relationships/chart" Target="../charts/chart66.xml"/><Relationship Id="rId9" Type="http://schemas.openxmlformats.org/officeDocument/2006/relationships/chart" Target="../charts/chart71.xml"/><Relationship Id="rId14" Type="http://schemas.openxmlformats.org/officeDocument/2006/relationships/chart" Target="../charts/chart76.xml"/></Relationships>
</file>

<file path=xl/drawings/_rels/drawing14.xml.rels><?xml version="1.0" encoding="UTF-8" standalone="yes"?>
<Relationships xmlns="http://schemas.openxmlformats.org/package/2006/relationships"><Relationship Id="rId3" Type="http://schemas.openxmlformats.org/officeDocument/2006/relationships/chart" Target="../charts/chart81.xml"/><Relationship Id="rId2" Type="http://schemas.openxmlformats.org/officeDocument/2006/relationships/chart" Target="../charts/chart80.xml"/><Relationship Id="rId1" Type="http://schemas.openxmlformats.org/officeDocument/2006/relationships/chart" Target="../charts/chart79.xml"/><Relationship Id="rId6" Type="http://schemas.openxmlformats.org/officeDocument/2006/relationships/chart" Target="../charts/chart84.xml"/><Relationship Id="rId5" Type="http://schemas.openxmlformats.org/officeDocument/2006/relationships/chart" Target="../charts/chart83.xml"/><Relationship Id="rId4" Type="http://schemas.openxmlformats.org/officeDocument/2006/relationships/chart" Target="../charts/chart82.xml"/></Relationships>
</file>

<file path=xl/drawings/_rels/drawing15.xml.rels><?xml version="1.0" encoding="UTF-8" standalone="yes"?>
<Relationships xmlns="http://schemas.openxmlformats.org/package/2006/relationships"><Relationship Id="rId3" Type="http://schemas.openxmlformats.org/officeDocument/2006/relationships/chart" Target="../charts/chart87.xml"/><Relationship Id="rId2" Type="http://schemas.openxmlformats.org/officeDocument/2006/relationships/chart" Target="../charts/chart86.xml"/><Relationship Id="rId1" Type="http://schemas.openxmlformats.org/officeDocument/2006/relationships/chart" Target="../charts/chart85.xml"/><Relationship Id="rId6" Type="http://schemas.openxmlformats.org/officeDocument/2006/relationships/chart" Target="../charts/chart90.xml"/><Relationship Id="rId5" Type="http://schemas.openxmlformats.org/officeDocument/2006/relationships/chart" Target="../charts/chart89.xml"/><Relationship Id="rId4" Type="http://schemas.openxmlformats.org/officeDocument/2006/relationships/chart" Target="../charts/chart88.xml"/></Relationships>
</file>

<file path=xl/drawings/_rels/drawing16.xml.rels><?xml version="1.0" encoding="UTF-8" standalone="yes"?>
<Relationships xmlns="http://schemas.openxmlformats.org/package/2006/relationships"><Relationship Id="rId3" Type="http://schemas.openxmlformats.org/officeDocument/2006/relationships/chart" Target="../charts/chart93.xml"/><Relationship Id="rId2" Type="http://schemas.openxmlformats.org/officeDocument/2006/relationships/chart" Target="../charts/chart92.xml"/><Relationship Id="rId1" Type="http://schemas.openxmlformats.org/officeDocument/2006/relationships/chart" Target="../charts/chart91.xml"/><Relationship Id="rId6" Type="http://schemas.openxmlformats.org/officeDocument/2006/relationships/chart" Target="../charts/chart96.xml"/><Relationship Id="rId5" Type="http://schemas.openxmlformats.org/officeDocument/2006/relationships/chart" Target="../charts/chart95.xml"/><Relationship Id="rId4" Type="http://schemas.openxmlformats.org/officeDocument/2006/relationships/chart" Target="../charts/chart94.xml"/></Relationships>
</file>

<file path=xl/drawings/_rels/drawing17.xml.rels><?xml version="1.0" encoding="UTF-8" standalone="yes"?>
<Relationships xmlns="http://schemas.openxmlformats.org/package/2006/relationships"><Relationship Id="rId8" Type="http://schemas.openxmlformats.org/officeDocument/2006/relationships/chart" Target="../charts/chart104.xml"/><Relationship Id="rId3" Type="http://schemas.openxmlformats.org/officeDocument/2006/relationships/chart" Target="../charts/chart99.xml"/><Relationship Id="rId7" Type="http://schemas.openxmlformats.org/officeDocument/2006/relationships/chart" Target="../charts/chart103.xml"/><Relationship Id="rId12" Type="http://schemas.openxmlformats.org/officeDocument/2006/relationships/chart" Target="../charts/chart108.xml"/><Relationship Id="rId2" Type="http://schemas.openxmlformats.org/officeDocument/2006/relationships/chart" Target="../charts/chart98.xml"/><Relationship Id="rId1" Type="http://schemas.openxmlformats.org/officeDocument/2006/relationships/chart" Target="../charts/chart97.xml"/><Relationship Id="rId6" Type="http://schemas.openxmlformats.org/officeDocument/2006/relationships/chart" Target="../charts/chart102.xml"/><Relationship Id="rId11" Type="http://schemas.openxmlformats.org/officeDocument/2006/relationships/chart" Target="../charts/chart107.xml"/><Relationship Id="rId5" Type="http://schemas.openxmlformats.org/officeDocument/2006/relationships/chart" Target="../charts/chart101.xml"/><Relationship Id="rId10" Type="http://schemas.openxmlformats.org/officeDocument/2006/relationships/chart" Target="../charts/chart106.xml"/><Relationship Id="rId4" Type="http://schemas.openxmlformats.org/officeDocument/2006/relationships/chart" Target="../charts/chart100.xml"/><Relationship Id="rId9" Type="http://schemas.openxmlformats.org/officeDocument/2006/relationships/chart" Target="../charts/chart105.xml"/></Relationships>
</file>

<file path=xl/drawings/_rels/drawing18.xml.rels><?xml version="1.0" encoding="UTF-8" standalone="yes"?>
<Relationships xmlns="http://schemas.openxmlformats.org/package/2006/relationships"><Relationship Id="rId8" Type="http://schemas.openxmlformats.org/officeDocument/2006/relationships/chart" Target="../charts/chart116.xml"/><Relationship Id="rId3" Type="http://schemas.openxmlformats.org/officeDocument/2006/relationships/chart" Target="../charts/chart111.xml"/><Relationship Id="rId7" Type="http://schemas.openxmlformats.org/officeDocument/2006/relationships/chart" Target="../charts/chart115.xml"/><Relationship Id="rId12" Type="http://schemas.openxmlformats.org/officeDocument/2006/relationships/chart" Target="../charts/chart120.xml"/><Relationship Id="rId2" Type="http://schemas.openxmlformats.org/officeDocument/2006/relationships/chart" Target="../charts/chart110.xml"/><Relationship Id="rId1" Type="http://schemas.openxmlformats.org/officeDocument/2006/relationships/chart" Target="../charts/chart109.xml"/><Relationship Id="rId6" Type="http://schemas.openxmlformats.org/officeDocument/2006/relationships/chart" Target="../charts/chart114.xml"/><Relationship Id="rId11" Type="http://schemas.openxmlformats.org/officeDocument/2006/relationships/chart" Target="../charts/chart119.xml"/><Relationship Id="rId5" Type="http://schemas.openxmlformats.org/officeDocument/2006/relationships/chart" Target="../charts/chart113.xml"/><Relationship Id="rId10" Type="http://schemas.openxmlformats.org/officeDocument/2006/relationships/chart" Target="../charts/chart118.xml"/><Relationship Id="rId4" Type="http://schemas.openxmlformats.org/officeDocument/2006/relationships/chart" Target="../charts/chart112.xml"/><Relationship Id="rId9" Type="http://schemas.openxmlformats.org/officeDocument/2006/relationships/chart" Target="../charts/chart117.xml"/></Relationships>
</file>

<file path=xl/drawings/_rels/drawing19.xml.rels><?xml version="1.0" encoding="UTF-8" standalone="yes"?>
<Relationships xmlns="http://schemas.openxmlformats.org/package/2006/relationships"><Relationship Id="rId8" Type="http://schemas.openxmlformats.org/officeDocument/2006/relationships/chart" Target="../charts/chart128.xml"/><Relationship Id="rId3" Type="http://schemas.openxmlformats.org/officeDocument/2006/relationships/chart" Target="../charts/chart123.xml"/><Relationship Id="rId7" Type="http://schemas.openxmlformats.org/officeDocument/2006/relationships/chart" Target="../charts/chart127.xml"/><Relationship Id="rId2" Type="http://schemas.openxmlformats.org/officeDocument/2006/relationships/chart" Target="../charts/chart122.xml"/><Relationship Id="rId1" Type="http://schemas.openxmlformats.org/officeDocument/2006/relationships/chart" Target="../charts/chart121.xml"/><Relationship Id="rId6" Type="http://schemas.openxmlformats.org/officeDocument/2006/relationships/chart" Target="../charts/chart126.xml"/><Relationship Id="rId5" Type="http://schemas.openxmlformats.org/officeDocument/2006/relationships/chart" Target="../charts/chart125.xml"/><Relationship Id="rId4" Type="http://schemas.openxmlformats.org/officeDocument/2006/relationships/chart" Target="../charts/chart124.xml"/></Relationships>
</file>

<file path=xl/drawings/drawing1.xml><?xml version="1.0" encoding="utf-8"?>
<xdr:wsDr xmlns:xdr="http://schemas.openxmlformats.org/drawingml/2006/spreadsheetDrawing" xmlns:a="http://schemas.openxmlformats.org/drawingml/2006/main">
  <xdr:twoCellAnchor editAs="oneCell">
    <xdr:from>
      <xdr:col>0</xdr:col>
      <xdr:colOff>540812</xdr:colOff>
      <xdr:row>5</xdr:row>
      <xdr:rowOff>147470</xdr:rowOff>
    </xdr:from>
    <xdr:to>
      <xdr:col>3</xdr:col>
      <xdr:colOff>321926</xdr:colOff>
      <xdr:row>13</xdr:row>
      <xdr:rowOff>34602</xdr:rowOff>
    </xdr:to>
    <xdr:pic>
      <xdr:nvPicPr>
        <xdr:cNvPr id="4" name="Picture 3">
          <a:extLst>
            <a:ext uri="{FF2B5EF4-FFF2-40B4-BE49-F238E27FC236}">
              <a16:creationId xmlns:a16="http://schemas.microsoft.com/office/drawing/2014/main" id="{824BD08B-F7B5-47B2-A205-BB28BC10F3A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40812" y="1191410"/>
          <a:ext cx="1541334" cy="12892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257657</xdr:colOff>
      <xdr:row>5</xdr:row>
      <xdr:rowOff>153955</xdr:rowOff>
    </xdr:from>
    <xdr:to>
      <xdr:col>7</xdr:col>
      <xdr:colOff>289560</xdr:colOff>
      <xdr:row>12</xdr:row>
      <xdr:rowOff>153434</xdr:rowOff>
    </xdr:to>
    <xdr:pic>
      <xdr:nvPicPr>
        <xdr:cNvPr id="6" name="Picture 5">
          <a:extLst>
            <a:ext uri="{FF2B5EF4-FFF2-40B4-BE49-F238E27FC236}">
              <a16:creationId xmlns:a16="http://schemas.microsoft.com/office/drawing/2014/main" id="{852B9A8F-7EAE-47A6-A370-13C96F6BCFD6}"/>
            </a:ext>
          </a:extLst>
        </xdr:cNvPr>
        <xdr:cNvPicPr>
          <a:picLocks noChangeAspect="1"/>
        </xdr:cNvPicPr>
      </xdr:nvPicPr>
      <xdr:blipFill>
        <a:blip xmlns:r="http://schemas.openxmlformats.org/officeDocument/2006/relationships" r:embed="rId2"/>
        <a:stretch>
          <a:fillRect/>
        </a:stretch>
      </xdr:blipFill>
      <xdr:spPr>
        <a:xfrm>
          <a:off x="2086457" y="1197895"/>
          <a:ext cx="2470303" cy="122629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xdr:colOff>
      <xdr:row>0</xdr:row>
      <xdr:rowOff>0</xdr:rowOff>
    </xdr:from>
    <xdr:to>
      <xdr:col>2</xdr:col>
      <xdr:colOff>231576</xdr:colOff>
      <xdr:row>6</xdr:row>
      <xdr:rowOff>2876</xdr:rowOff>
    </xdr:to>
    <xdr:pic>
      <xdr:nvPicPr>
        <xdr:cNvPr id="4" name="Picture 3">
          <a:extLst>
            <a:ext uri="{FF2B5EF4-FFF2-40B4-BE49-F238E27FC236}">
              <a16:creationId xmlns:a16="http://schemas.microsoft.com/office/drawing/2014/main" id="{63992871-862B-494F-8C73-AFEA6A4FFAD3}"/>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r="4253" b="3871"/>
        <a:stretch/>
      </xdr:blipFill>
      <xdr:spPr bwMode="auto">
        <a:xfrm>
          <a:off x="1" y="0"/>
          <a:ext cx="1253706" cy="1063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376007</xdr:colOff>
      <xdr:row>0</xdr:row>
      <xdr:rowOff>11506</xdr:rowOff>
    </xdr:from>
    <xdr:to>
      <xdr:col>17</xdr:col>
      <xdr:colOff>1</xdr:colOff>
      <xdr:row>6</xdr:row>
      <xdr:rowOff>944</xdr:rowOff>
    </xdr:to>
    <xdr:pic>
      <xdr:nvPicPr>
        <xdr:cNvPr id="6" name="Picture 5">
          <a:extLst>
            <a:ext uri="{FF2B5EF4-FFF2-40B4-BE49-F238E27FC236}">
              <a16:creationId xmlns:a16="http://schemas.microsoft.com/office/drawing/2014/main" id="{D123F857-80C1-4A7A-B725-6B77D81B180D}"/>
            </a:ext>
          </a:extLst>
        </xdr:cNvPr>
        <xdr:cNvPicPr>
          <a:picLocks noChangeAspect="1"/>
        </xdr:cNvPicPr>
      </xdr:nvPicPr>
      <xdr:blipFill rotWithShape="1">
        <a:blip xmlns:r="http://schemas.openxmlformats.org/officeDocument/2006/relationships" r:embed="rId2"/>
        <a:srcRect t="3184" r="4800"/>
        <a:stretch/>
      </xdr:blipFill>
      <xdr:spPr>
        <a:xfrm>
          <a:off x="8300807" y="11506"/>
          <a:ext cx="2062394" cy="1049254"/>
        </a:xfrm>
        <a:prstGeom prst="rect">
          <a:avLst/>
        </a:prstGeom>
      </xdr:spPr>
    </xdr:pic>
    <xdr:clientData/>
  </xdr:twoCellAnchor>
  <xdr:twoCellAnchor editAs="oneCell">
    <xdr:from>
      <xdr:col>0</xdr:col>
      <xdr:colOff>278802</xdr:colOff>
      <xdr:row>23</xdr:row>
      <xdr:rowOff>22860</xdr:rowOff>
    </xdr:from>
    <xdr:to>
      <xdr:col>13</xdr:col>
      <xdr:colOff>310179</xdr:colOff>
      <xdr:row>58</xdr:row>
      <xdr:rowOff>17032</xdr:rowOff>
    </xdr:to>
    <xdr:pic>
      <xdr:nvPicPr>
        <xdr:cNvPr id="5" name="Picture 4">
          <a:extLst>
            <a:ext uri="{FF2B5EF4-FFF2-40B4-BE49-F238E27FC236}">
              <a16:creationId xmlns:a16="http://schemas.microsoft.com/office/drawing/2014/main" id="{BD7EF298-6E4D-4A40-A144-55AE4CD47B6D}"/>
            </a:ext>
          </a:extLst>
        </xdr:cNvPr>
        <xdr:cNvPicPr>
          <a:picLocks noChangeAspect="1" noChangeArrowheads="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l="7847" t="9922" r="7316" b="600"/>
        <a:stretch/>
      </xdr:blipFill>
      <xdr:spPr bwMode="auto">
        <a:xfrm>
          <a:off x="278802" y="4069080"/>
          <a:ext cx="7758057" cy="61358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xdr:from>
      <xdr:col>1</xdr:col>
      <xdr:colOff>0</xdr:colOff>
      <xdr:row>87</xdr:row>
      <xdr:rowOff>62753</xdr:rowOff>
    </xdr:from>
    <xdr:to>
      <xdr:col>6</xdr:col>
      <xdr:colOff>0</xdr:colOff>
      <xdr:row>104</xdr:row>
      <xdr:rowOff>17930</xdr:rowOff>
    </xdr:to>
    <xdr:graphicFrame macro="">
      <xdr:nvGraphicFramePr>
        <xdr:cNvPr id="5" name="Chart 4">
          <a:extLst>
            <a:ext uri="{FF2B5EF4-FFF2-40B4-BE49-F238E27FC236}">
              <a16:creationId xmlns:a16="http://schemas.microsoft.com/office/drawing/2014/main" id="{D467FFDF-EE41-4C80-ADA5-A35EFB818C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13448</xdr:colOff>
      <xdr:row>87</xdr:row>
      <xdr:rowOff>0</xdr:rowOff>
    </xdr:from>
    <xdr:to>
      <xdr:col>11</xdr:col>
      <xdr:colOff>1389529</xdr:colOff>
      <xdr:row>104</xdr:row>
      <xdr:rowOff>0</xdr:rowOff>
    </xdr:to>
    <xdr:graphicFrame macro="">
      <xdr:nvGraphicFramePr>
        <xdr:cNvPr id="6" name="Chart 5">
          <a:extLst>
            <a:ext uri="{FF2B5EF4-FFF2-40B4-BE49-F238E27FC236}">
              <a16:creationId xmlns:a16="http://schemas.microsoft.com/office/drawing/2014/main" id="{A7EF0447-2CF7-4AEC-9A4D-951CCDA050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0</xdr:colOff>
      <xdr:row>27</xdr:row>
      <xdr:rowOff>8963</xdr:rowOff>
    </xdr:from>
    <xdr:to>
      <xdr:col>5</xdr:col>
      <xdr:colOff>1138518</xdr:colOff>
      <xdr:row>44</xdr:row>
      <xdr:rowOff>50661</xdr:rowOff>
    </xdr:to>
    <xdr:graphicFrame macro="">
      <xdr:nvGraphicFramePr>
        <xdr:cNvPr id="7" name="Chart 6">
          <a:extLst>
            <a:ext uri="{FF2B5EF4-FFF2-40B4-BE49-F238E27FC236}">
              <a16:creationId xmlns:a16="http://schemas.microsoft.com/office/drawing/2014/main" id="{03CCCE8D-7D48-4E0A-92B0-6026B49B23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528918</xdr:colOff>
      <xdr:row>27</xdr:row>
      <xdr:rowOff>8965</xdr:rowOff>
    </xdr:from>
    <xdr:to>
      <xdr:col>12</xdr:col>
      <xdr:colOff>0</xdr:colOff>
      <xdr:row>44</xdr:row>
      <xdr:rowOff>89647</xdr:rowOff>
    </xdr:to>
    <xdr:graphicFrame macro="">
      <xdr:nvGraphicFramePr>
        <xdr:cNvPr id="8" name="Chart 7">
          <a:extLst>
            <a:ext uri="{FF2B5EF4-FFF2-40B4-BE49-F238E27FC236}">
              <a16:creationId xmlns:a16="http://schemas.microsoft.com/office/drawing/2014/main" id="{2E240015-B1AD-41F5-9BC5-C235FEBEAF6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0</xdr:colOff>
      <xdr:row>57</xdr:row>
      <xdr:rowOff>161365</xdr:rowOff>
    </xdr:from>
    <xdr:to>
      <xdr:col>6</xdr:col>
      <xdr:colOff>26894</xdr:colOff>
      <xdr:row>74</xdr:row>
      <xdr:rowOff>152401</xdr:rowOff>
    </xdr:to>
    <xdr:graphicFrame macro="">
      <xdr:nvGraphicFramePr>
        <xdr:cNvPr id="9" name="Chart 8">
          <a:extLst>
            <a:ext uri="{FF2B5EF4-FFF2-40B4-BE49-F238E27FC236}">
              <a16:creationId xmlns:a16="http://schemas.microsoft.com/office/drawing/2014/main" id="{1B2F242A-D632-4347-A6AC-F0E84DD368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4483</xdr:colOff>
      <xdr:row>57</xdr:row>
      <xdr:rowOff>153743</xdr:rowOff>
    </xdr:from>
    <xdr:to>
      <xdr:col>11</xdr:col>
      <xdr:colOff>1380564</xdr:colOff>
      <xdr:row>74</xdr:row>
      <xdr:rowOff>152398</xdr:rowOff>
    </xdr:to>
    <xdr:graphicFrame macro="">
      <xdr:nvGraphicFramePr>
        <xdr:cNvPr id="10" name="Chart 9">
          <a:extLst>
            <a:ext uri="{FF2B5EF4-FFF2-40B4-BE49-F238E27FC236}">
              <a16:creationId xmlns:a16="http://schemas.microsoft.com/office/drawing/2014/main" id="{ED1AAF5E-6310-427B-9C09-F9213D23312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18</xdr:col>
      <xdr:colOff>323901</xdr:colOff>
      <xdr:row>9</xdr:row>
      <xdr:rowOff>41711</xdr:rowOff>
    </xdr:from>
    <xdr:to>
      <xdr:col>25</xdr:col>
      <xdr:colOff>282162</xdr:colOff>
      <xdr:row>25</xdr:row>
      <xdr:rowOff>177368</xdr:rowOff>
    </xdr:to>
    <xdr:graphicFrame macro="">
      <xdr:nvGraphicFramePr>
        <xdr:cNvPr id="2" name="Chart 1">
          <a:extLst>
            <a:ext uri="{FF2B5EF4-FFF2-40B4-BE49-F238E27FC236}">
              <a16:creationId xmlns:a16="http://schemas.microsoft.com/office/drawing/2014/main" id="{DAA9CD6A-3BB9-4AE0-B310-6F4DAB98B6C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325088</xdr:colOff>
      <xdr:row>27</xdr:row>
      <xdr:rowOff>10441</xdr:rowOff>
    </xdr:from>
    <xdr:to>
      <xdr:col>25</xdr:col>
      <xdr:colOff>283349</xdr:colOff>
      <xdr:row>43</xdr:row>
      <xdr:rowOff>129175</xdr:rowOff>
    </xdr:to>
    <xdr:graphicFrame macro="">
      <xdr:nvGraphicFramePr>
        <xdr:cNvPr id="3" name="Chart 2">
          <a:extLst>
            <a:ext uri="{FF2B5EF4-FFF2-40B4-BE49-F238E27FC236}">
              <a16:creationId xmlns:a16="http://schemas.microsoft.com/office/drawing/2014/main" id="{ADC36F08-09BF-4E07-AE0E-A4E952CF86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18</xdr:col>
      <xdr:colOff>335974</xdr:colOff>
      <xdr:row>45</xdr:row>
      <xdr:rowOff>58881</xdr:rowOff>
    </xdr:from>
    <xdr:to>
      <xdr:col>25</xdr:col>
      <xdr:colOff>294235</xdr:colOff>
      <xdr:row>62</xdr:row>
      <xdr:rowOff>48670</xdr:rowOff>
    </xdr:to>
    <xdr:graphicFrame macro="">
      <xdr:nvGraphicFramePr>
        <xdr:cNvPr id="4" name="Chart 3">
          <a:extLst>
            <a:ext uri="{FF2B5EF4-FFF2-40B4-BE49-F238E27FC236}">
              <a16:creationId xmlns:a16="http://schemas.microsoft.com/office/drawing/2014/main" id="{981696D7-05F4-49CC-8ADB-0024809A04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18</xdr:col>
      <xdr:colOff>352401</xdr:colOff>
      <xdr:row>62</xdr:row>
      <xdr:rowOff>178379</xdr:rowOff>
    </xdr:from>
    <xdr:to>
      <xdr:col>25</xdr:col>
      <xdr:colOff>310662</xdr:colOff>
      <xdr:row>79</xdr:row>
      <xdr:rowOff>166435</xdr:rowOff>
    </xdr:to>
    <xdr:graphicFrame macro="">
      <xdr:nvGraphicFramePr>
        <xdr:cNvPr id="5" name="Chart 4">
          <a:extLst>
            <a:ext uri="{FF2B5EF4-FFF2-40B4-BE49-F238E27FC236}">
              <a16:creationId xmlns:a16="http://schemas.microsoft.com/office/drawing/2014/main" id="{9E70FDB8-E798-4944-882D-8AADF3D796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18</xdr:col>
      <xdr:colOff>357745</xdr:colOff>
      <xdr:row>82</xdr:row>
      <xdr:rowOff>77931</xdr:rowOff>
    </xdr:from>
    <xdr:to>
      <xdr:col>25</xdr:col>
      <xdr:colOff>322117</xdr:colOff>
      <xdr:row>91</xdr:row>
      <xdr:rowOff>149679</xdr:rowOff>
    </xdr:to>
    <xdr:graphicFrame macro="">
      <xdr:nvGraphicFramePr>
        <xdr:cNvPr id="6" name="Chart 5">
          <a:extLst>
            <a:ext uri="{FF2B5EF4-FFF2-40B4-BE49-F238E27FC236}">
              <a16:creationId xmlns:a16="http://schemas.microsoft.com/office/drawing/2014/main" id="{29CA3EB6-65BB-4D44-9AD4-B51653C0329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18</xdr:col>
      <xdr:colOff>19101</xdr:colOff>
      <xdr:row>14</xdr:row>
      <xdr:rowOff>60761</xdr:rowOff>
    </xdr:from>
    <xdr:to>
      <xdr:col>24</xdr:col>
      <xdr:colOff>586962</xdr:colOff>
      <xdr:row>31</xdr:row>
      <xdr:rowOff>24968</xdr:rowOff>
    </xdr:to>
    <xdr:graphicFrame macro="">
      <xdr:nvGraphicFramePr>
        <xdr:cNvPr id="2" name="Chart 1">
          <a:extLst>
            <a:ext uri="{FF2B5EF4-FFF2-40B4-BE49-F238E27FC236}">
              <a16:creationId xmlns:a16="http://schemas.microsoft.com/office/drawing/2014/main" id="{01E8E522-6EA6-4184-AEA9-B8D086F05E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20288</xdr:colOff>
      <xdr:row>32</xdr:row>
      <xdr:rowOff>29491</xdr:rowOff>
    </xdr:from>
    <xdr:to>
      <xdr:col>24</xdr:col>
      <xdr:colOff>588149</xdr:colOff>
      <xdr:row>48</xdr:row>
      <xdr:rowOff>205375</xdr:rowOff>
    </xdr:to>
    <xdr:graphicFrame macro="">
      <xdr:nvGraphicFramePr>
        <xdr:cNvPr id="3" name="Chart 2">
          <a:extLst>
            <a:ext uri="{FF2B5EF4-FFF2-40B4-BE49-F238E27FC236}">
              <a16:creationId xmlns:a16="http://schemas.microsoft.com/office/drawing/2014/main" id="{5D5BEDFE-F090-4984-87CD-9984ABCAB18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18</xdr:col>
      <xdr:colOff>31174</xdr:colOff>
      <xdr:row>50</xdr:row>
      <xdr:rowOff>116031</xdr:rowOff>
    </xdr:from>
    <xdr:to>
      <xdr:col>24</xdr:col>
      <xdr:colOff>599035</xdr:colOff>
      <xdr:row>67</xdr:row>
      <xdr:rowOff>67720</xdr:rowOff>
    </xdr:to>
    <xdr:graphicFrame macro="">
      <xdr:nvGraphicFramePr>
        <xdr:cNvPr id="4" name="Chart 3">
          <a:extLst>
            <a:ext uri="{FF2B5EF4-FFF2-40B4-BE49-F238E27FC236}">
              <a16:creationId xmlns:a16="http://schemas.microsoft.com/office/drawing/2014/main" id="{602C8F83-391B-4EE5-9610-D775B82F74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18</xdr:col>
      <xdr:colOff>47601</xdr:colOff>
      <xdr:row>68</xdr:row>
      <xdr:rowOff>6929</xdr:rowOff>
    </xdr:from>
    <xdr:to>
      <xdr:col>25</xdr:col>
      <xdr:colOff>5862</xdr:colOff>
      <xdr:row>85</xdr:row>
      <xdr:rowOff>14035</xdr:rowOff>
    </xdr:to>
    <xdr:graphicFrame macro="">
      <xdr:nvGraphicFramePr>
        <xdr:cNvPr id="5" name="Chart 4">
          <a:extLst>
            <a:ext uri="{FF2B5EF4-FFF2-40B4-BE49-F238E27FC236}">
              <a16:creationId xmlns:a16="http://schemas.microsoft.com/office/drawing/2014/main" id="{8D9622C7-FD5F-46C3-B1F7-B4ED77D0A4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18</xdr:col>
      <xdr:colOff>52945</xdr:colOff>
      <xdr:row>87</xdr:row>
      <xdr:rowOff>154131</xdr:rowOff>
    </xdr:from>
    <xdr:to>
      <xdr:col>25</xdr:col>
      <xdr:colOff>17317</xdr:colOff>
      <xdr:row>95</xdr:row>
      <xdr:rowOff>35379</xdr:rowOff>
    </xdr:to>
    <xdr:graphicFrame macro="">
      <xdr:nvGraphicFramePr>
        <xdr:cNvPr id="6" name="Chart 5">
          <a:extLst>
            <a:ext uri="{FF2B5EF4-FFF2-40B4-BE49-F238E27FC236}">
              <a16:creationId xmlns:a16="http://schemas.microsoft.com/office/drawing/2014/main" id="{BE52298D-6439-412D-B861-08975F8E33F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19</xdr:col>
      <xdr:colOff>445127</xdr:colOff>
      <xdr:row>11</xdr:row>
      <xdr:rowOff>116179</xdr:rowOff>
    </xdr:from>
    <xdr:to>
      <xdr:col>28</xdr:col>
      <xdr:colOff>417244</xdr:colOff>
      <xdr:row>28</xdr:row>
      <xdr:rowOff>80386</xdr:rowOff>
    </xdr:to>
    <xdr:graphicFrame macro="">
      <xdr:nvGraphicFramePr>
        <xdr:cNvPr id="2" name="Chart 1">
          <a:extLst>
            <a:ext uri="{FF2B5EF4-FFF2-40B4-BE49-F238E27FC236}">
              <a16:creationId xmlns:a16="http://schemas.microsoft.com/office/drawing/2014/main" id="{025AE106-5C1C-4264-901A-665CFD25CC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446314</xdr:colOff>
      <xdr:row>29</xdr:row>
      <xdr:rowOff>84909</xdr:rowOff>
    </xdr:from>
    <xdr:to>
      <xdr:col>28</xdr:col>
      <xdr:colOff>418431</xdr:colOff>
      <xdr:row>46</xdr:row>
      <xdr:rowOff>42584</xdr:rowOff>
    </xdr:to>
    <xdr:graphicFrame macro="">
      <xdr:nvGraphicFramePr>
        <xdr:cNvPr id="3" name="Chart 2">
          <a:extLst>
            <a:ext uri="{FF2B5EF4-FFF2-40B4-BE49-F238E27FC236}">
              <a16:creationId xmlns:a16="http://schemas.microsoft.com/office/drawing/2014/main" id="{ACBDDC47-34A5-4C81-B172-17C2FBDF93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19</xdr:col>
      <xdr:colOff>457200</xdr:colOff>
      <xdr:row>47</xdr:row>
      <xdr:rowOff>152399</xdr:rowOff>
    </xdr:from>
    <xdr:to>
      <xdr:col>28</xdr:col>
      <xdr:colOff>429317</xdr:colOff>
      <xdr:row>64</xdr:row>
      <xdr:rowOff>123138</xdr:rowOff>
    </xdr:to>
    <xdr:graphicFrame macro="">
      <xdr:nvGraphicFramePr>
        <xdr:cNvPr id="4" name="Chart 3">
          <a:extLst>
            <a:ext uri="{FF2B5EF4-FFF2-40B4-BE49-F238E27FC236}">
              <a16:creationId xmlns:a16="http://schemas.microsoft.com/office/drawing/2014/main" id="{3ABCE3B5-F2DF-42B3-B44C-AB64E6D57F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19</xdr:col>
      <xdr:colOff>473627</xdr:colOff>
      <xdr:row>65</xdr:row>
      <xdr:rowOff>62347</xdr:rowOff>
    </xdr:from>
    <xdr:to>
      <xdr:col>28</xdr:col>
      <xdr:colOff>445744</xdr:colOff>
      <xdr:row>82</xdr:row>
      <xdr:rowOff>33085</xdr:rowOff>
    </xdr:to>
    <xdr:graphicFrame macro="">
      <xdr:nvGraphicFramePr>
        <xdr:cNvPr id="5" name="Chart 4">
          <a:extLst>
            <a:ext uri="{FF2B5EF4-FFF2-40B4-BE49-F238E27FC236}">
              <a16:creationId xmlns:a16="http://schemas.microsoft.com/office/drawing/2014/main" id="{DAD7E3C3-A08E-4095-B16F-EF1FA6594E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19</xdr:col>
      <xdr:colOff>478971</xdr:colOff>
      <xdr:row>84</xdr:row>
      <xdr:rowOff>152399</xdr:rowOff>
    </xdr:from>
    <xdr:to>
      <xdr:col>28</xdr:col>
      <xdr:colOff>457199</xdr:colOff>
      <xdr:row>93</xdr:row>
      <xdr:rowOff>54429</xdr:rowOff>
    </xdr:to>
    <xdr:graphicFrame macro="">
      <xdr:nvGraphicFramePr>
        <xdr:cNvPr id="6" name="Chart 5">
          <a:extLst>
            <a:ext uri="{FF2B5EF4-FFF2-40B4-BE49-F238E27FC236}">
              <a16:creationId xmlns:a16="http://schemas.microsoft.com/office/drawing/2014/main" id="{203F065E-0461-4938-B7A1-D5E18F45F01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23</xdr:col>
      <xdr:colOff>990</xdr:colOff>
      <xdr:row>44</xdr:row>
      <xdr:rowOff>36615</xdr:rowOff>
    </xdr:from>
    <xdr:to>
      <xdr:col>32</xdr:col>
      <xdr:colOff>523504</xdr:colOff>
      <xdr:row>68</xdr:row>
      <xdr:rowOff>14845</xdr:rowOff>
    </xdr:to>
    <xdr:graphicFrame macro="">
      <xdr:nvGraphicFramePr>
        <xdr:cNvPr id="2" name="Chart 1">
          <a:extLst>
            <a:ext uri="{FF2B5EF4-FFF2-40B4-BE49-F238E27FC236}">
              <a16:creationId xmlns:a16="http://schemas.microsoft.com/office/drawing/2014/main" id="{9390EA90-C992-4FE9-B2E6-CF7223016AA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23</xdr:col>
      <xdr:colOff>13855</xdr:colOff>
      <xdr:row>119</xdr:row>
      <xdr:rowOff>0</xdr:rowOff>
    </xdr:from>
    <xdr:to>
      <xdr:col>32</xdr:col>
      <xdr:colOff>536369</xdr:colOff>
      <xdr:row>145</xdr:row>
      <xdr:rowOff>190995</xdr:rowOff>
    </xdr:to>
    <xdr:graphicFrame macro="">
      <xdr:nvGraphicFramePr>
        <xdr:cNvPr id="3" name="Chart 2">
          <a:extLst>
            <a:ext uri="{FF2B5EF4-FFF2-40B4-BE49-F238E27FC236}">
              <a16:creationId xmlns:a16="http://schemas.microsoft.com/office/drawing/2014/main" id="{F15D9C3C-F507-49CE-B144-10CF03A9C0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22</xdr:col>
      <xdr:colOff>595745</xdr:colOff>
      <xdr:row>199</xdr:row>
      <xdr:rowOff>178130</xdr:rowOff>
    </xdr:from>
    <xdr:to>
      <xdr:col>32</xdr:col>
      <xdr:colOff>508659</xdr:colOff>
      <xdr:row>223</xdr:row>
      <xdr:rowOff>184068</xdr:rowOff>
    </xdr:to>
    <xdr:graphicFrame macro="">
      <xdr:nvGraphicFramePr>
        <xdr:cNvPr id="4" name="Chart 3">
          <a:extLst>
            <a:ext uri="{FF2B5EF4-FFF2-40B4-BE49-F238E27FC236}">
              <a16:creationId xmlns:a16="http://schemas.microsoft.com/office/drawing/2014/main" id="{CDD8141A-AC28-4B78-90D1-D40DA5841D3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22</xdr:col>
      <xdr:colOff>588817</xdr:colOff>
      <xdr:row>70</xdr:row>
      <xdr:rowOff>152399</xdr:rowOff>
    </xdr:from>
    <xdr:to>
      <xdr:col>32</xdr:col>
      <xdr:colOff>512618</xdr:colOff>
      <xdr:row>86</xdr:row>
      <xdr:rowOff>27708</xdr:rowOff>
    </xdr:to>
    <xdr:graphicFrame macro="">
      <xdr:nvGraphicFramePr>
        <xdr:cNvPr id="5" name="Chart 4">
          <a:extLst>
            <a:ext uri="{FF2B5EF4-FFF2-40B4-BE49-F238E27FC236}">
              <a16:creationId xmlns:a16="http://schemas.microsoft.com/office/drawing/2014/main" id="{CAFEFE66-FB9C-47C2-B5F0-7EA7E3FC73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23</xdr:col>
      <xdr:colOff>6926</xdr:colOff>
      <xdr:row>148</xdr:row>
      <xdr:rowOff>124690</xdr:rowOff>
    </xdr:from>
    <xdr:to>
      <xdr:col>32</xdr:col>
      <xdr:colOff>540327</xdr:colOff>
      <xdr:row>163</xdr:row>
      <xdr:rowOff>180108</xdr:rowOff>
    </xdr:to>
    <xdr:graphicFrame macro="">
      <xdr:nvGraphicFramePr>
        <xdr:cNvPr id="6" name="Chart 5">
          <a:extLst>
            <a:ext uri="{FF2B5EF4-FFF2-40B4-BE49-F238E27FC236}">
              <a16:creationId xmlns:a16="http://schemas.microsoft.com/office/drawing/2014/main" id="{314E422B-5077-4F51-A148-EDA1F916651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23</xdr:col>
      <xdr:colOff>0</xdr:colOff>
      <xdr:row>227</xdr:row>
      <xdr:rowOff>180108</xdr:rowOff>
    </xdr:from>
    <xdr:to>
      <xdr:col>32</xdr:col>
      <xdr:colOff>533401</xdr:colOff>
      <xdr:row>242</xdr:row>
      <xdr:rowOff>55418</xdr:rowOff>
    </xdr:to>
    <xdr:graphicFrame macro="">
      <xdr:nvGraphicFramePr>
        <xdr:cNvPr id="7" name="Chart 6">
          <a:extLst>
            <a:ext uri="{FF2B5EF4-FFF2-40B4-BE49-F238E27FC236}">
              <a16:creationId xmlns:a16="http://schemas.microsoft.com/office/drawing/2014/main" id="{0836D621-2377-4156-9FE2-7327450007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22</xdr:col>
      <xdr:colOff>598716</xdr:colOff>
      <xdr:row>43</xdr:row>
      <xdr:rowOff>87086</xdr:rowOff>
    </xdr:from>
    <xdr:to>
      <xdr:col>32</xdr:col>
      <xdr:colOff>511630</xdr:colOff>
      <xdr:row>69</xdr:row>
      <xdr:rowOff>6928</xdr:rowOff>
    </xdr:to>
    <xdr:graphicFrame macro="">
      <xdr:nvGraphicFramePr>
        <xdr:cNvPr id="10" name="Chart 9">
          <a:extLst>
            <a:ext uri="{FF2B5EF4-FFF2-40B4-BE49-F238E27FC236}">
              <a16:creationId xmlns:a16="http://schemas.microsoft.com/office/drawing/2014/main" id="{BEFED371-B948-4558-9728-4A2F1BF503A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23</xdr:col>
      <xdr:colOff>1981</xdr:colOff>
      <xdr:row>127</xdr:row>
      <xdr:rowOff>14844</xdr:rowOff>
    </xdr:from>
    <xdr:to>
      <xdr:col>32</xdr:col>
      <xdr:colOff>524495</xdr:colOff>
      <xdr:row>154</xdr:row>
      <xdr:rowOff>167245</xdr:rowOff>
    </xdr:to>
    <xdr:graphicFrame macro="">
      <xdr:nvGraphicFramePr>
        <xdr:cNvPr id="11" name="Chart 10">
          <a:extLst>
            <a:ext uri="{FF2B5EF4-FFF2-40B4-BE49-F238E27FC236}">
              <a16:creationId xmlns:a16="http://schemas.microsoft.com/office/drawing/2014/main" id="{DB8A71E6-582B-4955-ADDC-D7C8C18DC3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22</xdr:col>
      <xdr:colOff>605642</xdr:colOff>
      <xdr:row>201</xdr:row>
      <xdr:rowOff>56408</xdr:rowOff>
    </xdr:from>
    <xdr:to>
      <xdr:col>32</xdr:col>
      <xdr:colOff>518556</xdr:colOff>
      <xdr:row>227</xdr:row>
      <xdr:rowOff>22762</xdr:rowOff>
    </xdr:to>
    <xdr:graphicFrame macro="">
      <xdr:nvGraphicFramePr>
        <xdr:cNvPr id="12" name="Chart 11">
          <a:extLst>
            <a:ext uri="{FF2B5EF4-FFF2-40B4-BE49-F238E27FC236}">
              <a16:creationId xmlns:a16="http://schemas.microsoft.com/office/drawing/2014/main" id="{0018D2FA-6617-4BFF-BD00-56699DE492B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22</xdr:col>
      <xdr:colOff>576943</xdr:colOff>
      <xdr:row>71</xdr:row>
      <xdr:rowOff>134586</xdr:rowOff>
    </xdr:from>
    <xdr:to>
      <xdr:col>32</xdr:col>
      <xdr:colOff>500744</xdr:colOff>
      <xdr:row>88</xdr:row>
      <xdr:rowOff>42552</xdr:rowOff>
    </xdr:to>
    <xdr:graphicFrame macro="">
      <xdr:nvGraphicFramePr>
        <xdr:cNvPr id="13" name="Chart 12">
          <a:extLst>
            <a:ext uri="{FF2B5EF4-FFF2-40B4-BE49-F238E27FC236}">
              <a16:creationId xmlns:a16="http://schemas.microsoft.com/office/drawing/2014/main" id="{F5133920-0C95-476B-9EB4-B84280DB8D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22</xdr:col>
      <xdr:colOff>604652</xdr:colOff>
      <xdr:row>157</xdr:row>
      <xdr:rowOff>99950</xdr:rowOff>
    </xdr:from>
    <xdr:to>
      <xdr:col>32</xdr:col>
      <xdr:colOff>528453</xdr:colOff>
      <xdr:row>175</xdr:row>
      <xdr:rowOff>95002</xdr:rowOff>
    </xdr:to>
    <xdr:graphicFrame macro="">
      <xdr:nvGraphicFramePr>
        <xdr:cNvPr id="14" name="Chart 13">
          <a:extLst>
            <a:ext uri="{FF2B5EF4-FFF2-40B4-BE49-F238E27FC236}">
              <a16:creationId xmlns:a16="http://schemas.microsoft.com/office/drawing/2014/main" id="{3761D90E-860E-445D-A5A4-F957BCF3491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23</xdr:col>
      <xdr:colOff>9897</xdr:colOff>
      <xdr:row>231</xdr:row>
      <xdr:rowOff>1979</xdr:rowOff>
    </xdr:from>
    <xdr:to>
      <xdr:col>32</xdr:col>
      <xdr:colOff>543298</xdr:colOff>
      <xdr:row>245</xdr:row>
      <xdr:rowOff>182089</xdr:rowOff>
    </xdr:to>
    <xdr:graphicFrame macro="">
      <xdr:nvGraphicFramePr>
        <xdr:cNvPr id="15" name="Chart 14">
          <a:extLst>
            <a:ext uri="{FF2B5EF4-FFF2-40B4-BE49-F238E27FC236}">
              <a16:creationId xmlns:a16="http://schemas.microsoft.com/office/drawing/2014/main" id="{238D0CCC-5F8E-4C1D-9665-01F30D63148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22</xdr:col>
      <xdr:colOff>853045</xdr:colOff>
      <xdr:row>40</xdr:row>
      <xdr:rowOff>13854</xdr:rowOff>
    </xdr:from>
    <xdr:to>
      <xdr:col>32</xdr:col>
      <xdr:colOff>475013</xdr:colOff>
      <xdr:row>63</xdr:row>
      <xdr:rowOff>144112</xdr:rowOff>
    </xdr:to>
    <xdr:graphicFrame macro="">
      <xdr:nvGraphicFramePr>
        <xdr:cNvPr id="2" name="Chart 1">
          <a:extLst>
            <a:ext uri="{FF2B5EF4-FFF2-40B4-BE49-F238E27FC236}">
              <a16:creationId xmlns:a16="http://schemas.microsoft.com/office/drawing/2014/main" id="{184122B9-83BA-4064-9FEC-62701D7A47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22</xdr:col>
      <xdr:colOff>831272</xdr:colOff>
      <xdr:row>66</xdr:row>
      <xdr:rowOff>93393</xdr:rowOff>
    </xdr:from>
    <xdr:to>
      <xdr:col>32</xdr:col>
      <xdr:colOff>464127</xdr:colOff>
      <xdr:row>81</xdr:row>
      <xdr:rowOff>128648</xdr:rowOff>
    </xdr:to>
    <xdr:graphicFrame macro="">
      <xdr:nvGraphicFramePr>
        <xdr:cNvPr id="3" name="Chart 2">
          <a:extLst>
            <a:ext uri="{FF2B5EF4-FFF2-40B4-BE49-F238E27FC236}">
              <a16:creationId xmlns:a16="http://schemas.microsoft.com/office/drawing/2014/main" id="{8443C0B5-D2D9-4D57-856C-8BBCD0731ED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23</xdr:col>
      <xdr:colOff>10887</xdr:colOff>
      <xdr:row>113</xdr:row>
      <xdr:rowOff>88074</xdr:rowOff>
    </xdr:from>
    <xdr:to>
      <xdr:col>32</xdr:col>
      <xdr:colOff>536369</xdr:colOff>
      <xdr:row>137</xdr:row>
      <xdr:rowOff>44161</xdr:rowOff>
    </xdr:to>
    <xdr:graphicFrame macro="">
      <xdr:nvGraphicFramePr>
        <xdr:cNvPr id="4" name="Chart 3">
          <a:extLst>
            <a:ext uri="{FF2B5EF4-FFF2-40B4-BE49-F238E27FC236}">
              <a16:creationId xmlns:a16="http://schemas.microsoft.com/office/drawing/2014/main" id="{14666678-6E76-4755-A795-1AD58A0145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22</xdr:col>
      <xdr:colOff>892628</xdr:colOff>
      <xdr:row>139</xdr:row>
      <xdr:rowOff>167614</xdr:rowOff>
    </xdr:from>
    <xdr:to>
      <xdr:col>32</xdr:col>
      <xdr:colOff>525483</xdr:colOff>
      <xdr:row>155</xdr:row>
      <xdr:rowOff>28697</xdr:rowOff>
    </xdr:to>
    <xdr:graphicFrame macro="">
      <xdr:nvGraphicFramePr>
        <xdr:cNvPr id="5" name="Chart 4">
          <a:extLst>
            <a:ext uri="{FF2B5EF4-FFF2-40B4-BE49-F238E27FC236}">
              <a16:creationId xmlns:a16="http://schemas.microsoft.com/office/drawing/2014/main" id="{C44679B2-35D2-46FB-8E58-80544E6B6A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22</xdr:col>
      <xdr:colOff>881744</xdr:colOff>
      <xdr:row>185</xdr:row>
      <xdr:rowOff>54428</xdr:rowOff>
    </xdr:from>
    <xdr:to>
      <xdr:col>32</xdr:col>
      <xdr:colOff>503712</xdr:colOff>
      <xdr:row>209</xdr:row>
      <xdr:rowOff>10515</xdr:rowOff>
    </xdr:to>
    <xdr:graphicFrame macro="">
      <xdr:nvGraphicFramePr>
        <xdr:cNvPr id="6" name="Chart 5">
          <a:extLst>
            <a:ext uri="{FF2B5EF4-FFF2-40B4-BE49-F238E27FC236}">
              <a16:creationId xmlns:a16="http://schemas.microsoft.com/office/drawing/2014/main" id="{F722E9C4-9832-49A5-9471-7B1E1501C3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22</xdr:col>
      <xdr:colOff>859971</xdr:colOff>
      <xdr:row>211</xdr:row>
      <xdr:rowOff>133968</xdr:rowOff>
    </xdr:from>
    <xdr:to>
      <xdr:col>32</xdr:col>
      <xdr:colOff>492826</xdr:colOff>
      <xdr:row>226</xdr:row>
      <xdr:rowOff>169223</xdr:rowOff>
    </xdr:to>
    <xdr:graphicFrame macro="">
      <xdr:nvGraphicFramePr>
        <xdr:cNvPr id="7" name="Chart 6">
          <a:extLst>
            <a:ext uri="{FF2B5EF4-FFF2-40B4-BE49-F238E27FC236}">
              <a16:creationId xmlns:a16="http://schemas.microsoft.com/office/drawing/2014/main" id="{1B850669-00C0-4654-BF05-22CAAD7B74A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17</xdr:col>
      <xdr:colOff>1415142</xdr:colOff>
      <xdr:row>48</xdr:row>
      <xdr:rowOff>176091</xdr:rowOff>
    </xdr:from>
    <xdr:to>
      <xdr:col>25</xdr:col>
      <xdr:colOff>502023</xdr:colOff>
      <xdr:row>71</xdr:row>
      <xdr:rowOff>12806</xdr:rowOff>
    </xdr:to>
    <xdr:graphicFrame macro="">
      <xdr:nvGraphicFramePr>
        <xdr:cNvPr id="5" name="Chart 4">
          <a:extLst>
            <a:ext uri="{FF2B5EF4-FFF2-40B4-BE49-F238E27FC236}">
              <a16:creationId xmlns:a16="http://schemas.microsoft.com/office/drawing/2014/main" id="{8C57A7AC-959F-43DA-9BF2-A09A23A1A12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26</xdr:col>
      <xdr:colOff>504992</xdr:colOff>
      <xdr:row>48</xdr:row>
      <xdr:rowOff>178072</xdr:rowOff>
    </xdr:from>
    <xdr:to>
      <xdr:col>38</xdr:col>
      <xdr:colOff>502023</xdr:colOff>
      <xdr:row>71</xdr:row>
      <xdr:rowOff>1</xdr:rowOff>
    </xdr:to>
    <xdr:graphicFrame macro="">
      <xdr:nvGraphicFramePr>
        <xdr:cNvPr id="6" name="Chart 5">
          <a:extLst>
            <a:ext uri="{FF2B5EF4-FFF2-40B4-BE49-F238E27FC236}">
              <a16:creationId xmlns:a16="http://schemas.microsoft.com/office/drawing/2014/main" id="{885712B7-FF89-40D9-83E2-C691268D56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18</xdr:col>
      <xdr:colOff>13447</xdr:colOff>
      <xdr:row>99</xdr:row>
      <xdr:rowOff>3362</xdr:rowOff>
    </xdr:from>
    <xdr:to>
      <xdr:col>25</xdr:col>
      <xdr:colOff>502023</xdr:colOff>
      <xdr:row>118</xdr:row>
      <xdr:rowOff>170330</xdr:rowOff>
    </xdr:to>
    <xdr:graphicFrame macro="">
      <xdr:nvGraphicFramePr>
        <xdr:cNvPr id="9" name="Chart 8">
          <a:extLst>
            <a:ext uri="{FF2B5EF4-FFF2-40B4-BE49-F238E27FC236}">
              <a16:creationId xmlns:a16="http://schemas.microsoft.com/office/drawing/2014/main" id="{72E10CBA-1A9A-4143-BECA-1983244727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26</xdr:col>
      <xdr:colOff>496319</xdr:colOff>
      <xdr:row>98</xdr:row>
      <xdr:rowOff>161365</xdr:rowOff>
    </xdr:from>
    <xdr:to>
      <xdr:col>39</xdr:col>
      <xdr:colOff>17930</xdr:colOff>
      <xdr:row>119</xdr:row>
      <xdr:rowOff>17929</xdr:rowOff>
    </xdr:to>
    <xdr:graphicFrame macro="">
      <xdr:nvGraphicFramePr>
        <xdr:cNvPr id="10" name="Chart 9">
          <a:extLst>
            <a:ext uri="{FF2B5EF4-FFF2-40B4-BE49-F238E27FC236}">
              <a16:creationId xmlns:a16="http://schemas.microsoft.com/office/drawing/2014/main" id="{9BE74799-A877-46DD-B776-10D9CA77EB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19</xdr:col>
      <xdr:colOff>0</xdr:colOff>
      <xdr:row>100</xdr:row>
      <xdr:rowOff>0</xdr:rowOff>
    </xdr:from>
    <xdr:to>
      <xdr:col>33</xdr:col>
      <xdr:colOff>327563</xdr:colOff>
      <xdr:row>121</xdr:row>
      <xdr:rowOff>48490</xdr:rowOff>
    </xdr:to>
    <xdr:graphicFrame macro="">
      <xdr:nvGraphicFramePr>
        <xdr:cNvPr id="3" name="Chart 2">
          <a:extLst>
            <a:ext uri="{FF2B5EF4-FFF2-40B4-BE49-F238E27FC236}">
              <a16:creationId xmlns:a16="http://schemas.microsoft.com/office/drawing/2014/main" id="{03312EAC-3C9C-4604-B5C7-57364E1E4BB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16</xdr:col>
      <xdr:colOff>581890</xdr:colOff>
      <xdr:row>29</xdr:row>
      <xdr:rowOff>1</xdr:rowOff>
    </xdr:from>
    <xdr:to>
      <xdr:col>25</xdr:col>
      <xdr:colOff>147743</xdr:colOff>
      <xdr:row>50</xdr:row>
      <xdr:rowOff>125682</xdr:rowOff>
    </xdr:to>
    <xdr:graphicFrame macro="">
      <xdr:nvGraphicFramePr>
        <xdr:cNvPr id="5" name="Chart 4">
          <a:extLst>
            <a:ext uri="{FF2B5EF4-FFF2-40B4-BE49-F238E27FC236}">
              <a16:creationId xmlns:a16="http://schemas.microsoft.com/office/drawing/2014/main" id="{A6C1D905-CC23-4F6B-9FAC-86D304FAFC4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26</xdr:col>
      <xdr:colOff>52740</xdr:colOff>
      <xdr:row>29</xdr:row>
      <xdr:rowOff>1982</xdr:rowOff>
    </xdr:from>
    <xdr:to>
      <xdr:col>36</xdr:col>
      <xdr:colOff>93314</xdr:colOff>
      <xdr:row>50</xdr:row>
      <xdr:rowOff>112877</xdr:rowOff>
    </xdr:to>
    <xdr:graphicFrame macro="">
      <xdr:nvGraphicFramePr>
        <xdr:cNvPr id="6" name="Chart 5">
          <a:extLst>
            <a:ext uri="{FF2B5EF4-FFF2-40B4-BE49-F238E27FC236}">
              <a16:creationId xmlns:a16="http://schemas.microsoft.com/office/drawing/2014/main" id="{39F8E8D1-6124-49AE-87AC-612B4F43379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22</xdr:col>
      <xdr:colOff>592778</xdr:colOff>
      <xdr:row>0</xdr:row>
      <xdr:rowOff>167243</xdr:rowOff>
    </xdr:from>
    <xdr:to>
      <xdr:col>33</xdr:col>
      <xdr:colOff>124691</xdr:colOff>
      <xdr:row>18</xdr:row>
      <xdr:rowOff>55418</xdr:rowOff>
    </xdr:to>
    <xdr:graphicFrame macro="">
      <xdr:nvGraphicFramePr>
        <xdr:cNvPr id="2" name="Chart 1">
          <a:extLst>
            <a:ext uri="{FF2B5EF4-FFF2-40B4-BE49-F238E27FC236}">
              <a16:creationId xmlns:a16="http://schemas.microsoft.com/office/drawing/2014/main" id="{A4D5BD66-C13E-4AE3-8BF6-43662B789F6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22</xdr:col>
      <xdr:colOff>603666</xdr:colOff>
      <xdr:row>18</xdr:row>
      <xdr:rowOff>177140</xdr:rowOff>
    </xdr:from>
    <xdr:to>
      <xdr:col>33</xdr:col>
      <xdr:colOff>152400</xdr:colOff>
      <xdr:row>36</xdr:row>
      <xdr:rowOff>13854</xdr:rowOff>
    </xdr:to>
    <xdr:graphicFrame macro="">
      <xdr:nvGraphicFramePr>
        <xdr:cNvPr id="3" name="Chart 2">
          <a:extLst>
            <a:ext uri="{FF2B5EF4-FFF2-40B4-BE49-F238E27FC236}">
              <a16:creationId xmlns:a16="http://schemas.microsoft.com/office/drawing/2014/main" id="{9DBB3131-C857-4BE1-8E49-71400274A2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22</xdr:col>
      <xdr:colOff>602674</xdr:colOff>
      <xdr:row>36</xdr:row>
      <xdr:rowOff>174172</xdr:rowOff>
    </xdr:from>
    <xdr:to>
      <xdr:col>33</xdr:col>
      <xdr:colOff>166254</xdr:colOff>
      <xdr:row>55</xdr:row>
      <xdr:rowOff>96982</xdr:rowOff>
    </xdr:to>
    <xdr:graphicFrame macro="">
      <xdr:nvGraphicFramePr>
        <xdr:cNvPr id="4" name="Chart 3">
          <a:extLst>
            <a:ext uri="{FF2B5EF4-FFF2-40B4-BE49-F238E27FC236}">
              <a16:creationId xmlns:a16="http://schemas.microsoft.com/office/drawing/2014/main" id="{B132AA24-80BC-4F65-AFAE-CD33F4A85F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33</xdr:col>
      <xdr:colOff>592282</xdr:colOff>
      <xdr:row>18</xdr:row>
      <xdr:rowOff>69272</xdr:rowOff>
    </xdr:from>
    <xdr:to>
      <xdr:col>43</xdr:col>
      <xdr:colOff>432954</xdr:colOff>
      <xdr:row>36</xdr:row>
      <xdr:rowOff>110835</xdr:rowOff>
    </xdr:to>
    <xdr:graphicFrame macro="">
      <xdr:nvGraphicFramePr>
        <xdr:cNvPr id="8" name="Chart 7">
          <a:extLst>
            <a:ext uri="{FF2B5EF4-FFF2-40B4-BE49-F238E27FC236}">
              <a16:creationId xmlns:a16="http://schemas.microsoft.com/office/drawing/2014/main" id="{70DB4B51-1A61-482F-8015-286174378E8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22</xdr:col>
      <xdr:colOff>592778</xdr:colOff>
      <xdr:row>56</xdr:row>
      <xdr:rowOff>167243</xdr:rowOff>
    </xdr:from>
    <xdr:to>
      <xdr:col>33</xdr:col>
      <xdr:colOff>124691</xdr:colOff>
      <xdr:row>74</xdr:row>
      <xdr:rowOff>55418</xdr:rowOff>
    </xdr:to>
    <xdr:graphicFrame macro="">
      <xdr:nvGraphicFramePr>
        <xdr:cNvPr id="9" name="Chart 8">
          <a:extLst>
            <a:ext uri="{FF2B5EF4-FFF2-40B4-BE49-F238E27FC236}">
              <a16:creationId xmlns:a16="http://schemas.microsoft.com/office/drawing/2014/main" id="{37960FA5-A402-444B-B244-75165D1F4E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22</xdr:col>
      <xdr:colOff>603666</xdr:colOff>
      <xdr:row>74</xdr:row>
      <xdr:rowOff>177140</xdr:rowOff>
    </xdr:from>
    <xdr:to>
      <xdr:col>33</xdr:col>
      <xdr:colOff>152400</xdr:colOff>
      <xdr:row>92</xdr:row>
      <xdr:rowOff>13854</xdr:rowOff>
    </xdr:to>
    <xdr:graphicFrame macro="">
      <xdr:nvGraphicFramePr>
        <xdr:cNvPr id="10" name="Chart 9">
          <a:extLst>
            <a:ext uri="{FF2B5EF4-FFF2-40B4-BE49-F238E27FC236}">
              <a16:creationId xmlns:a16="http://schemas.microsoft.com/office/drawing/2014/main" id="{4A1DCEB3-ECB1-4B2E-BE2A-5C5671E706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22</xdr:col>
      <xdr:colOff>602674</xdr:colOff>
      <xdr:row>92</xdr:row>
      <xdr:rowOff>174172</xdr:rowOff>
    </xdr:from>
    <xdr:to>
      <xdr:col>33</xdr:col>
      <xdr:colOff>166254</xdr:colOff>
      <xdr:row>111</xdr:row>
      <xdr:rowOff>96982</xdr:rowOff>
    </xdr:to>
    <xdr:graphicFrame macro="">
      <xdr:nvGraphicFramePr>
        <xdr:cNvPr id="11" name="Chart 10">
          <a:extLst>
            <a:ext uri="{FF2B5EF4-FFF2-40B4-BE49-F238E27FC236}">
              <a16:creationId xmlns:a16="http://schemas.microsoft.com/office/drawing/2014/main" id="{652E4667-FAAA-4C53-9DB9-A4918C9F4E2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33</xdr:col>
      <xdr:colOff>592282</xdr:colOff>
      <xdr:row>74</xdr:row>
      <xdr:rowOff>69272</xdr:rowOff>
    </xdr:from>
    <xdr:to>
      <xdr:col>43</xdr:col>
      <xdr:colOff>432954</xdr:colOff>
      <xdr:row>92</xdr:row>
      <xdr:rowOff>110835</xdr:rowOff>
    </xdr:to>
    <xdr:graphicFrame macro="">
      <xdr:nvGraphicFramePr>
        <xdr:cNvPr id="12" name="Chart 11">
          <a:extLst>
            <a:ext uri="{FF2B5EF4-FFF2-40B4-BE49-F238E27FC236}">
              <a16:creationId xmlns:a16="http://schemas.microsoft.com/office/drawing/2014/main" id="{7E1D274F-03E7-4A2D-83CA-1742DB94BB1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23</xdr:col>
      <xdr:colOff>496</xdr:colOff>
      <xdr:row>113</xdr:row>
      <xdr:rowOff>989</xdr:rowOff>
    </xdr:from>
    <xdr:to>
      <xdr:col>33</xdr:col>
      <xdr:colOff>142009</xdr:colOff>
      <xdr:row>130</xdr:row>
      <xdr:rowOff>69273</xdr:rowOff>
    </xdr:to>
    <xdr:graphicFrame macro="">
      <xdr:nvGraphicFramePr>
        <xdr:cNvPr id="13" name="Chart 12">
          <a:extLst>
            <a:ext uri="{FF2B5EF4-FFF2-40B4-BE49-F238E27FC236}">
              <a16:creationId xmlns:a16="http://schemas.microsoft.com/office/drawing/2014/main" id="{AC4B7566-56CA-49CD-8216-09DE6671B9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23</xdr:col>
      <xdr:colOff>11384</xdr:colOff>
      <xdr:row>131</xdr:row>
      <xdr:rowOff>10886</xdr:rowOff>
    </xdr:from>
    <xdr:to>
      <xdr:col>33</xdr:col>
      <xdr:colOff>169718</xdr:colOff>
      <xdr:row>148</xdr:row>
      <xdr:rowOff>27709</xdr:rowOff>
    </xdr:to>
    <xdr:graphicFrame macro="">
      <xdr:nvGraphicFramePr>
        <xdr:cNvPr id="14" name="Chart 13">
          <a:extLst>
            <a:ext uri="{FF2B5EF4-FFF2-40B4-BE49-F238E27FC236}">
              <a16:creationId xmlns:a16="http://schemas.microsoft.com/office/drawing/2014/main" id="{77772AE9-3BEA-4A4E-814E-7FE4A17F94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23</xdr:col>
      <xdr:colOff>10392</xdr:colOff>
      <xdr:row>149</xdr:row>
      <xdr:rowOff>7917</xdr:rowOff>
    </xdr:from>
    <xdr:to>
      <xdr:col>33</xdr:col>
      <xdr:colOff>183572</xdr:colOff>
      <xdr:row>167</xdr:row>
      <xdr:rowOff>110837</xdr:rowOff>
    </xdr:to>
    <xdr:graphicFrame macro="">
      <xdr:nvGraphicFramePr>
        <xdr:cNvPr id="15" name="Chart 14">
          <a:extLst>
            <a:ext uri="{FF2B5EF4-FFF2-40B4-BE49-F238E27FC236}">
              <a16:creationId xmlns:a16="http://schemas.microsoft.com/office/drawing/2014/main" id="{B6E276E6-685F-4C47-99BE-3C0E9D1284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22</xdr:col>
      <xdr:colOff>596241</xdr:colOff>
      <xdr:row>169</xdr:row>
      <xdr:rowOff>14843</xdr:rowOff>
    </xdr:from>
    <xdr:to>
      <xdr:col>33</xdr:col>
      <xdr:colOff>128154</xdr:colOff>
      <xdr:row>186</xdr:row>
      <xdr:rowOff>83127</xdr:rowOff>
    </xdr:to>
    <xdr:graphicFrame macro="">
      <xdr:nvGraphicFramePr>
        <xdr:cNvPr id="16" name="Chart 15">
          <a:extLst>
            <a:ext uri="{FF2B5EF4-FFF2-40B4-BE49-F238E27FC236}">
              <a16:creationId xmlns:a16="http://schemas.microsoft.com/office/drawing/2014/main" id="{9D2FC278-4407-4D60-8AF3-C9579A684A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22</xdr:col>
      <xdr:colOff>607129</xdr:colOff>
      <xdr:row>187</xdr:row>
      <xdr:rowOff>24740</xdr:rowOff>
    </xdr:from>
    <xdr:to>
      <xdr:col>33</xdr:col>
      <xdr:colOff>155863</xdr:colOff>
      <xdr:row>204</xdr:row>
      <xdr:rowOff>41562</xdr:rowOff>
    </xdr:to>
    <xdr:graphicFrame macro="">
      <xdr:nvGraphicFramePr>
        <xdr:cNvPr id="17" name="Chart 16">
          <a:extLst>
            <a:ext uri="{FF2B5EF4-FFF2-40B4-BE49-F238E27FC236}">
              <a16:creationId xmlns:a16="http://schemas.microsoft.com/office/drawing/2014/main" id="{A6272C62-36F3-4955-ACAF-53D1C9AC5B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22</xdr:col>
      <xdr:colOff>606137</xdr:colOff>
      <xdr:row>205</xdr:row>
      <xdr:rowOff>21771</xdr:rowOff>
    </xdr:from>
    <xdr:to>
      <xdr:col>33</xdr:col>
      <xdr:colOff>169717</xdr:colOff>
      <xdr:row>223</xdr:row>
      <xdr:rowOff>124691</xdr:rowOff>
    </xdr:to>
    <xdr:graphicFrame macro="">
      <xdr:nvGraphicFramePr>
        <xdr:cNvPr id="18" name="Chart 17">
          <a:extLst>
            <a:ext uri="{FF2B5EF4-FFF2-40B4-BE49-F238E27FC236}">
              <a16:creationId xmlns:a16="http://schemas.microsoft.com/office/drawing/2014/main" id="{3F029E1A-C105-4DBC-B80B-46FDEDC029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34</xdr:col>
      <xdr:colOff>13854</xdr:colOff>
      <xdr:row>131</xdr:row>
      <xdr:rowOff>0</xdr:rowOff>
    </xdr:from>
    <xdr:to>
      <xdr:col>43</xdr:col>
      <xdr:colOff>464126</xdr:colOff>
      <xdr:row>149</xdr:row>
      <xdr:rowOff>41562</xdr:rowOff>
    </xdr:to>
    <xdr:graphicFrame macro="">
      <xdr:nvGraphicFramePr>
        <xdr:cNvPr id="21" name="Chart 20">
          <a:extLst>
            <a:ext uri="{FF2B5EF4-FFF2-40B4-BE49-F238E27FC236}">
              <a16:creationId xmlns:a16="http://schemas.microsoft.com/office/drawing/2014/main" id="{ED4E93D0-84EA-4E6A-B41D-D50BB763F2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34</xdr:col>
      <xdr:colOff>0</xdr:colOff>
      <xdr:row>187</xdr:row>
      <xdr:rowOff>0</xdr:rowOff>
    </xdr:from>
    <xdr:to>
      <xdr:col>43</xdr:col>
      <xdr:colOff>450272</xdr:colOff>
      <xdr:row>205</xdr:row>
      <xdr:rowOff>41562</xdr:rowOff>
    </xdr:to>
    <xdr:graphicFrame macro="">
      <xdr:nvGraphicFramePr>
        <xdr:cNvPr id="22" name="Chart 21">
          <a:extLst>
            <a:ext uri="{FF2B5EF4-FFF2-40B4-BE49-F238E27FC236}">
              <a16:creationId xmlns:a16="http://schemas.microsoft.com/office/drawing/2014/main" id="{535086A1-6BD9-4F79-9CA1-0FF7DC6610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22</xdr:col>
      <xdr:colOff>592778</xdr:colOff>
      <xdr:row>0</xdr:row>
      <xdr:rowOff>167243</xdr:rowOff>
    </xdr:from>
    <xdr:to>
      <xdr:col>33</xdr:col>
      <xdr:colOff>124691</xdr:colOff>
      <xdr:row>18</xdr:row>
      <xdr:rowOff>55418</xdr:rowOff>
    </xdr:to>
    <xdr:graphicFrame macro="">
      <xdr:nvGraphicFramePr>
        <xdr:cNvPr id="2" name="Chart 1">
          <a:extLst>
            <a:ext uri="{FF2B5EF4-FFF2-40B4-BE49-F238E27FC236}">
              <a16:creationId xmlns:a16="http://schemas.microsoft.com/office/drawing/2014/main" id="{E2F8788C-57FD-441D-9BD0-2DE76F8A313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22</xdr:col>
      <xdr:colOff>603666</xdr:colOff>
      <xdr:row>18</xdr:row>
      <xdr:rowOff>177140</xdr:rowOff>
    </xdr:from>
    <xdr:to>
      <xdr:col>33</xdr:col>
      <xdr:colOff>152400</xdr:colOff>
      <xdr:row>36</xdr:row>
      <xdr:rowOff>13854</xdr:rowOff>
    </xdr:to>
    <xdr:graphicFrame macro="">
      <xdr:nvGraphicFramePr>
        <xdr:cNvPr id="3" name="Chart 2">
          <a:extLst>
            <a:ext uri="{FF2B5EF4-FFF2-40B4-BE49-F238E27FC236}">
              <a16:creationId xmlns:a16="http://schemas.microsoft.com/office/drawing/2014/main" id="{C7172014-0D2B-42F0-9D4A-5EEE31FC691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22</xdr:col>
      <xdr:colOff>602674</xdr:colOff>
      <xdr:row>36</xdr:row>
      <xdr:rowOff>174172</xdr:rowOff>
    </xdr:from>
    <xdr:to>
      <xdr:col>33</xdr:col>
      <xdr:colOff>166254</xdr:colOff>
      <xdr:row>55</xdr:row>
      <xdr:rowOff>96982</xdr:rowOff>
    </xdr:to>
    <xdr:graphicFrame macro="">
      <xdr:nvGraphicFramePr>
        <xdr:cNvPr id="4" name="Chart 3">
          <a:extLst>
            <a:ext uri="{FF2B5EF4-FFF2-40B4-BE49-F238E27FC236}">
              <a16:creationId xmlns:a16="http://schemas.microsoft.com/office/drawing/2014/main" id="{106D299F-BA87-4081-8690-B5A2549AB1E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33</xdr:col>
      <xdr:colOff>592282</xdr:colOff>
      <xdr:row>18</xdr:row>
      <xdr:rowOff>69272</xdr:rowOff>
    </xdr:from>
    <xdr:to>
      <xdr:col>43</xdr:col>
      <xdr:colOff>432954</xdr:colOff>
      <xdr:row>36</xdr:row>
      <xdr:rowOff>110835</xdr:rowOff>
    </xdr:to>
    <xdr:graphicFrame macro="">
      <xdr:nvGraphicFramePr>
        <xdr:cNvPr id="5" name="Chart 4">
          <a:extLst>
            <a:ext uri="{FF2B5EF4-FFF2-40B4-BE49-F238E27FC236}">
              <a16:creationId xmlns:a16="http://schemas.microsoft.com/office/drawing/2014/main" id="{5286BB93-20F4-4FE7-92BC-7DFCAA7F2B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22</xdr:col>
      <xdr:colOff>592778</xdr:colOff>
      <xdr:row>56</xdr:row>
      <xdr:rowOff>167243</xdr:rowOff>
    </xdr:from>
    <xdr:to>
      <xdr:col>33</xdr:col>
      <xdr:colOff>124691</xdr:colOff>
      <xdr:row>74</xdr:row>
      <xdr:rowOff>55418</xdr:rowOff>
    </xdr:to>
    <xdr:graphicFrame macro="">
      <xdr:nvGraphicFramePr>
        <xdr:cNvPr id="6" name="Chart 5">
          <a:extLst>
            <a:ext uri="{FF2B5EF4-FFF2-40B4-BE49-F238E27FC236}">
              <a16:creationId xmlns:a16="http://schemas.microsoft.com/office/drawing/2014/main" id="{878B4E6E-D7B7-45F0-A002-61A6C535C2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22</xdr:col>
      <xdr:colOff>603666</xdr:colOff>
      <xdr:row>74</xdr:row>
      <xdr:rowOff>177140</xdr:rowOff>
    </xdr:from>
    <xdr:to>
      <xdr:col>33</xdr:col>
      <xdr:colOff>152400</xdr:colOff>
      <xdr:row>92</xdr:row>
      <xdr:rowOff>13854</xdr:rowOff>
    </xdr:to>
    <xdr:graphicFrame macro="">
      <xdr:nvGraphicFramePr>
        <xdr:cNvPr id="7" name="Chart 6">
          <a:extLst>
            <a:ext uri="{FF2B5EF4-FFF2-40B4-BE49-F238E27FC236}">
              <a16:creationId xmlns:a16="http://schemas.microsoft.com/office/drawing/2014/main" id="{2672378F-F3A0-474C-A019-AE1B2344B76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22</xdr:col>
      <xdr:colOff>602674</xdr:colOff>
      <xdr:row>92</xdr:row>
      <xdr:rowOff>174172</xdr:rowOff>
    </xdr:from>
    <xdr:to>
      <xdr:col>33</xdr:col>
      <xdr:colOff>166254</xdr:colOff>
      <xdr:row>111</xdr:row>
      <xdr:rowOff>96982</xdr:rowOff>
    </xdr:to>
    <xdr:graphicFrame macro="">
      <xdr:nvGraphicFramePr>
        <xdr:cNvPr id="8" name="Chart 7">
          <a:extLst>
            <a:ext uri="{FF2B5EF4-FFF2-40B4-BE49-F238E27FC236}">
              <a16:creationId xmlns:a16="http://schemas.microsoft.com/office/drawing/2014/main" id="{F50580D8-39FC-4F65-8790-2EF8189039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33</xdr:col>
      <xdr:colOff>592282</xdr:colOff>
      <xdr:row>74</xdr:row>
      <xdr:rowOff>69272</xdr:rowOff>
    </xdr:from>
    <xdr:to>
      <xdr:col>43</xdr:col>
      <xdr:colOff>432954</xdr:colOff>
      <xdr:row>92</xdr:row>
      <xdr:rowOff>110835</xdr:rowOff>
    </xdr:to>
    <xdr:graphicFrame macro="">
      <xdr:nvGraphicFramePr>
        <xdr:cNvPr id="9" name="Chart 8">
          <a:extLst>
            <a:ext uri="{FF2B5EF4-FFF2-40B4-BE49-F238E27FC236}">
              <a16:creationId xmlns:a16="http://schemas.microsoft.com/office/drawing/2014/main" id="{00F8CBE9-1264-42B0-9631-B77B53E8B6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23</xdr:col>
      <xdr:colOff>496</xdr:colOff>
      <xdr:row>113</xdr:row>
      <xdr:rowOff>989</xdr:rowOff>
    </xdr:from>
    <xdr:to>
      <xdr:col>33</xdr:col>
      <xdr:colOff>142009</xdr:colOff>
      <xdr:row>130</xdr:row>
      <xdr:rowOff>69273</xdr:rowOff>
    </xdr:to>
    <xdr:graphicFrame macro="">
      <xdr:nvGraphicFramePr>
        <xdr:cNvPr id="10" name="Chart 9">
          <a:extLst>
            <a:ext uri="{FF2B5EF4-FFF2-40B4-BE49-F238E27FC236}">
              <a16:creationId xmlns:a16="http://schemas.microsoft.com/office/drawing/2014/main" id="{A295ABEE-088A-4567-9FF1-A225485E04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23</xdr:col>
      <xdr:colOff>11384</xdr:colOff>
      <xdr:row>131</xdr:row>
      <xdr:rowOff>10886</xdr:rowOff>
    </xdr:from>
    <xdr:to>
      <xdr:col>33</xdr:col>
      <xdr:colOff>169718</xdr:colOff>
      <xdr:row>148</xdr:row>
      <xdr:rowOff>27709</xdr:rowOff>
    </xdr:to>
    <xdr:graphicFrame macro="">
      <xdr:nvGraphicFramePr>
        <xdr:cNvPr id="11" name="Chart 10">
          <a:extLst>
            <a:ext uri="{FF2B5EF4-FFF2-40B4-BE49-F238E27FC236}">
              <a16:creationId xmlns:a16="http://schemas.microsoft.com/office/drawing/2014/main" id="{5995614A-730B-4BBE-8519-DA9C431CF2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23</xdr:col>
      <xdr:colOff>10392</xdr:colOff>
      <xdr:row>149</xdr:row>
      <xdr:rowOff>7917</xdr:rowOff>
    </xdr:from>
    <xdr:to>
      <xdr:col>33</xdr:col>
      <xdr:colOff>183572</xdr:colOff>
      <xdr:row>167</xdr:row>
      <xdr:rowOff>110837</xdr:rowOff>
    </xdr:to>
    <xdr:graphicFrame macro="">
      <xdr:nvGraphicFramePr>
        <xdr:cNvPr id="12" name="Chart 11">
          <a:extLst>
            <a:ext uri="{FF2B5EF4-FFF2-40B4-BE49-F238E27FC236}">
              <a16:creationId xmlns:a16="http://schemas.microsoft.com/office/drawing/2014/main" id="{9CA8762B-E849-4145-9903-9DC2CBB9558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22</xdr:col>
      <xdr:colOff>596241</xdr:colOff>
      <xdr:row>169</xdr:row>
      <xdr:rowOff>14843</xdr:rowOff>
    </xdr:from>
    <xdr:to>
      <xdr:col>33</xdr:col>
      <xdr:colOff>128154</xdr:colOff>
      <xdr:row>186</xdr:row>
      <xdr:rowOff>83127</xdr:rowOff>
    </xdr:to>
    <xdr:graphicFrame macro="">
      <xdr:nvGraphicFramePr>
        <xdr:cNvPr id="13" name="Chart 12">
          <a:extLst>
            <a:ext uri="{FF2B5EF4-FFF2-40B4-BE49-F238E27FC236}">
              <a16:creationId xmlns:a16="http://schemas.microsoft.com/office/drawing/2014/main" id="{01FF0672-C9A3-4219-8ED1-8F379241656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22</xdr:col>
      <xdr:colOff>607129</xdr:colOff>
      <xdr:row>187</xdr:row>
      <xdr:rowOff>24740</xdr:rowOff>
    </xdr:from>
    <xdr:to>
      <xdr:col>33</xdr:col>
      <xdr:colOff>155863</xdr:colOff>
      <xdr:row>204</xdr:row>
      <xdr:rowOff>41562</xdr:rowOff>
    </xdr:to>
    <xdr:graphicFrame macro="">
      <xdr:nvGraphicFramePr>
        <xdr:cNvPr id="14" name="Chart 13">
          <a:extLst>
            <a:ext uri="{FF2B5EF4-FFF2-40B4-BE49-F238E27FC236}">
              <a16:creationId xmlns:a16="http://schemas.microsoft.com/office/drawing/2014/main" id="{AAD8BCCE-62A9-428C-82C8-2B0C0825F1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22</xdr:col>
      <xdr:colOff>606137</xdr:colOff>
      <xdr:row>205</xdr:row>
      <xdr:rowOff>21771</xdr:rowOff>
    </xdr:from>
    <xdr:to>
      <xdr:col>33</xdr:col>
      <xdr:colOff>169717</xdr:colOff>
      <xdr:row>223</xdr:row>
      <xdr:rowOff>124691</xdr:rowOff>
    </xdr:to>
    <xdr:graphicFrame macro="">
      <xdr:nvGraphicFramePr>
        <xdr:cNvPr id="15" name="Chart 14">
          <a:extLst>
            <a:ext uri="{FF2B5EF4-FFF2-40B4-BE49-F238E27FC236}">
              <a16:creationId xmlns:a16="http://schemas.microsoft.com/office/drawing/2014/main" id="{220F6C51-D521-4B4A-9B51-7468739FD5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34</xdr:col>
      <xdr:colOff>13854</xdr:colOff>
      <xdr:row>131</xdr:row>
      <xdr:rowOff>0</xdr:rowOff>
    </xdr:from>
    <xdr:to>
      <xdr:col>43</xdr:col>
      <xdr:colOff>464126</xdr:colOff>
      <xdr:row>149</xdr:row>
      <xdr:rowOff>41562</xdr:rowOff>
    </xdr:to>
    <xdr:graphicFrame macro="">
      <xdr:nvGraphicFramePr>
        <xdr:cNvPr id="16" name="Chart 15">
          <a:extLst>
            <a:ext uri="{FF2B5EF4-FFF2-40B4-BE49-F238E27FC236}">
              <a16:creationId xmlns:a16="http://schemas.microsoft.com/office/drawing/2014/main" id="{88C916FC-EE08-49A0-8B6A-A6DA57F446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34</xdr:col>
      <xdr:colOff>0</xdr:colOff>
      <xdr:row>187</xdr:row>
      <xdr:rowOff>0</xdr:rowOff>
    </xdr:from>
    <xdr:to>
      <xdr:col>43</xdr:col>
      <xdr:colOff>450272</xdr:colOff>
      <xdr:row>205</xdr:row>
      <xdr:rowOff>41562</xdr:rowOff>
    </xdr:to>
    <xdr:graphicFrame macro="">
      <xdr:nvGraphicFramePr>
        <xdr:cNvPr id="17" name="Chart 16">
          <a:extLst>
            <a:ext uri="{FF2B5EF4-FFF2-40B4-BE49-F238E27FC236}">
              <a16:creationId xmlns:a16="http://schemas.microsoft.com/office/drawing/2014/main" id="{AA1A90F2-8240-41BA-B835-559A9418C8E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0</xdr:col>
      <xdr:colOff>0</xdr:colOff>
      <xdr:row>0</xdr:row>
      <xdr:rowOff>144780</xdr:rowOff>
    </xdr:from>
    <xdr:to>
      <xdr:col>9</xdr:col>
      <xdr:colOff>507274</xdr:colOff>
      <xdr:row>25</xdr:row>
      <xdr:rowOff>14152</xdr:rowOff>
    </xdr:to>
    <xdr:graphicFrame macro="">
      <xdr:nvGraphicFramePr>
        <xdr:cNvPr id="2" name="Chart 1">
          <a:extLst>
            <a:ext uri="{FF2B5EF4-FFF2-40B4-BE49-F238E27FC236}">
              <a16:creationId xmlns:a16="http://schemas.microsoft.com/office/drawing/2014/main" id="{4769BE20-00A8-4B5A-AEEE-33C05E2A4C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564968</xdr:colOff>
      <xdr:row>0</xdr:row>
      <xdr:rowOff>127363</xdr:rowOff>
    </xdr:from>
    <xdr:to>
      <xdr:col>19</xdr:col>
      <xdr:colOff>477882</xdr:colOff>
      <xdr:row>24</xdr:row>
      <xdr:rowOff>179615</xdr:rowOff>
    </xdr:to>
    <xdr:graphicFrame macro="">
      <xdr:nvGraphicFramePr>
        <xdr:cNvPr id="3" name="Chart 2">
          <a:extLst>
            <a:ext uri="{FF2B5EF4-FFF2-40B4-BE49-F238E27FC236}">
              <a16:creationId xmlns:a16="http://schemas.microsoft.com/office/drawing/2014/main" id="{1C8A20FF-F6F0-4FAF-9669-AC5EB8A146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19</xdr:col>
      <xdr:colOff>542108</xdr:colOff>
      <xdr:row>0</xdr:row>
      <xdr:rowOff>120832</xdr:rowOff>
    </xdr:from>
    <xdr:to>
      <xdr:col>29</xdr:col>
      <xdr:colOff>455022</xdr:colOff>
      <xdr:row>24</xdr:row>
      <xdr:rowOff>173084</xdr:rowOff>
    </xdr:to>
    <xdr:graphicFrame macro="">
      <xdr:nvGraphicFramePr>
        <xdr:cNvPr id="4" name="Chart 3">
          <a:extLst>
            <a:ext uri="{FF2B5EF4-FFF2-40B4-BE49-F238E27FC236}">
              <a16:creationId xmlns:a16="http://schemas.microsoft.com/office/drawing/2014/main" id="{21E3B220-0D75-4FF2-924A-3F6F31F24A6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28</xdr:row>
      <xdr:rowOff>8965</xdr:rowOff>
    </xdr:from>
    <xdr:to>
      <xdr:col>9</xdr:col>
      <xdr:colOff>475130</xdr:colOff>
      <xdr:row>43</xdr:row>
      <xdr:rowOff>36674</xdr:rowOff>
    </xdr:to>
    <xdr:graphicFrame macro="">
      <xdr:nvGraphicFramePr>
        <xdr:cNvPr id="5" name="Chart 4">
          <a:extLst>
            <a:ext uri="{FF2B5EF4-FFF2-40B4-BE49-F238E27FC236}">
              <a16:creationId xmlns:a16="http://schemas.microsoft.com/office/drawing/2014/main" id="{4877A952-9A66-4CBB-95C0-62BEBFA4A8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584642</xdr:colOff>
      <xdr:row>27</xdr:row>
      <xdr:rowOff>176931</xdr:rowOff>
    </xdr:from>
    <xdr:to>
      <xdr:col>19</xdr:col>
      <xdr:colOff>475129</xdr:colOff>
      <xdr:row>43</xdr:row>
      <xdr:rowOff>71718</xdr:rowOff>
    </xdr:to>
    <xdr:graphicFrame macro="">
      <xdr:nvGraphicFramePr>
        <xdr:cNvPr id="6" name="Chart 5">
          <a:extLst>
            <a:ext uri="{FF2B5EF4-FFF2-40B4-BE49-F238E27FC236}">
              <a16:creationId xmlns:a16="http://schemas.microsoft.com/office/drawing/2014/main" id="{6590EA32-72E4-441D-A121-90216851E42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20</xdr:col>
      <xdr:colOff>8965</xdr:colOff>
      <xdr:row>28</xdr:row>
      <xdr:rowOff>0</xdr:rowOff>
    </xdr:from>
    <xdr:to>
      <xdr:col>29</xdr:col>
      <xdr:colOff>542366</xdr:colOff>
      <xdr:row>43</xdr:row>
      <xdr:rowOff>81498</xdr:rowOff>
    </xdr:to>
    <xdr:graphicFrame macro="">
      <xdr:nvGraphicFramePr>
        <xdr:cNvPr id="8" name="Chart 7">
          <a:extLst>
            <a:ext uri="{FF2B5EF4-FFF2-40B4-BE49-F238E27FC236}">
              <a16:creationId xmlns:a16="http://schemas.microsoft.com/office/drawing/2014/main" id="{B1A60499-A74F-447F-83BD-0BF11D6711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0</xdr:col>
      <xdr:colOff>9549</xdr:colOff>
      <xdr:row>0</xdr:row>
      <xdr:rowOff>14960</xdr:rowOff>
    </xdr:from>
    <xdr:to>
      <xdr:col>9</xdr:col>
      <xdr:colOff>532063</xdr:colOff>
      <xdr:row>24</xdr:row>
      <xdr:rowOff>35510</xdr:rowOff>
    </xdr:to>
    <xdr:graphicFrame macro="">
      <xdr:nvGraphicFramePr>
        <xdr:cNvPr id="8" name="Chart 7">
          <a:extLst>
            <a:ext uri="{FF2B5EF4-FFF2-40B4-BE49-F238E27FC236}">
              <a16:creationId xmlns:a16="http://schemas.microsoft.com/office/drawing/2014/main" id="{C904AF29-D334-4C67-A1B4-0642A889729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30563</xdr:colOff>
      <xdr:row>0</xdr:row>
      <xdr:rowOff>22820</xdr:rowOff>
    </xdr:from>
    <xdr:to>
      <xdr:col>19</xdr:col>
      <xdr:colOff>553077</xdr:colOff>
      <xdr:row>24</xdr:row>
      <xdr:rowOff>31784</xdr:rowOff>
    </xdr:to>
    <xdr:graphicFrame macro="">
      <xdr:nvGraphicFramePr>
        <xdr:cNvPr id="14" name="Chart 13">
          <a:extLst>
            <a:ext uri="{FF2B5EF4-FFF2-40B4-BE49-F238E27FC236}">
              <a16:creationId xmlns:a16="http://schemas.microsoft.com/office/drawing/2014/main" id="{279C3005-605A-4A54-B130-62E79B7312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20</xdr:col>
      <xdr:colOff>32599</xdr:colOff>
      <xdr:row>0</xdr:row>
      <xdr:rowOff>13856</xdr:rowOff>
    </xdr:from>
    <xdr:to>
      <xdr:col>29</xdr:col>
      <xdr:colOff>555113</xdr:colOff>
      <xdr:row>24</xdr:row>
      <xdr:rowOff>4076</xdr:rowOff>
    </xdr:to>
    <xdr:graphicFrame macro="">
      <xdr:nvGraphicFramePr>
        <xdr:cNvPr id="16" name="Chart 15">
          <a:extLst>
            <a:ext uri="{FF2B5EF4-FFF2-40B4-BE49-F238E27FC236}">
              <a16:creationId xmlns:a16="http://schemas.microsoft.com/office/drawing/2014/main" id="{C99192F4-D590-45BB-B74E-F9644A83445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42420</xdr:colOff>
      <xdr:row>24</xdr:row>
      <xdr:rowOff>166255</xdr:rowOff>
    </xdr:from>
    <xdr:to>
      <xdr:col>9</xdr:col>
      <xdr:colOff>567902</xdr:colOff>
      <xdr:row>48</xdr:row>
      <xdr:rowOff>22662</xdr:rowOff>
    </xdr:to>
    <xdr:graphicFrame macro="">
      <xdr:nvGraphicFramePr>
        <xdr:cNvPr id="9" name="Chart 8">
          <a:extLst>
            <a:ext uri="{FF2B5EF4-FFF2-40B4-BE49-F238E27FC236}">
              <a16:creationId xmlns:a16="http://schemas.microsoft.com/office/drawing/2014/main" id="{E21C7582-184E-4A35-BA23-677E7A56FD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105172</xdr:colOff>
      <xdr:row>24</xdr:row>
      <xdr:rowOff>166255</xdr:rowOff>
    </xdr:from>
    <xdr:to>
      <xdr:col>20</xdr:col>
      <xdr:colOff>21054</xdr:colOff>
      <xdr:row>48</xdr:row>
      <xdr:rowOff>22662</xdr:rowOff>
    </xdr:to>
    <xdr:graphicFrame macro="">
      <xdr:nvGraphicFramePr>
        <xdr:cNvPr id="20" name="Chart 19">
          <a:extLst>
            <a:ext uri="{FF2B5EF4-FFF2-40B4-BE49-F238E27FC236}">
              <a16:creationId xmlns:a16="http://schemas.microsoft.com/office/drawing/2014/main" id="{8DEF09E5-9474-4C29-AA1A-93FA7768C88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20</xdr:col>
      <xdr:colOff>105173</xdr:colOff>
      <xdr:row>24</xdr:row>
      <xdr:rowOff>175220</xdr:rowOff>
    </xdr:from>
    <xdr:to>
      <xdr:col>30</xdr:col>
      <xdr:colOff>21055</xdr:colOff>
      <xdr:row>48</xdr:row>
      <xdr:rowOff>31627</xdr:rowOff>
    </xdr:to>
    <xdr:graphicFrame macro="">
      <xdr:nvGraphicFramePr>
        <xdr:cNvPr id="22" name="Chart 21">
          <a:extLst>
            <a:ext uri="{FF2B5EF4-FFF2-40B4-BE49-F238E27FC236}">
              <a16:creationId xmlns:a16="http://schemas.microsoft.com/office/drawing/2014/main" id="{5D55AEAE-1966-4E00-8E16-6057A1D784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16.xml><?xml version="1.0" encoding="utf-8"?>
<xdr:wsDr xmlns:xdr="http://schemas.openxmlformats.org/drawingml/2006/spreadsheetDrawing" xmlns:a="http://schemas.openxmlformats.org/drawingml/2006/main">
  <xdr:twoCellAnchor>
    <xdr:from>
      <xdr:col>0</xdr:col>
      <xdr:colOff>38575</xdr:colOff>
      <xdr:row>0</xdr:row>
      <xdr:rowOff>21924</xdr:rowOff>
    </xdr:from>
    <xdr:to>
      <xdr:col>9</xdr:col>
      <xdr:colOff>571976</xdr:colOff>
      <xdr:row>23</xdr:row>
      <xdr:rowOff>152399</xdr:rowOff>
    </xdr:to>
    <xdr:graphicFrame macro="">
      <xdr:nvGraphicFramePr>
        <xdr:cNvPr id="3" name="Chart 2">
          <a:extLst>
            <a:ext uri="{FF2B5EF4-FFF2-40B4-BE49-F238E27FC236}">
              <a16:creationId xmlns:a16="http://schemas.microsoft.com/office/drawing/2014/main" id="{85C7BD9A-DBE8-468F-8E0F-67CB824111E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92363</xdr:colOff>
      <xdr:row>0</xdr:row>
      <xdr:rowOff>15347</xdr:rowOff>
    </xdr:from>
    <xdr:to>
      <xdr:col>19</xdr:col>
      <xdr:colOff>585422</xdr:colOff>
      <xdr:row>23</xdr:row>
      <xdr:rowOff>156213</xdr:rowOff>
    </xdr:to>
    <xdr:graphicFrame macro="">
      <xdr:nvGraphicFramePr>
        <xdr:cNvPr id="5" name="Chart 4">
          <a:extLst>
            <a:ext uri="{FF2B5EF4-FFF2-40B4-BE49-F238E27FC236}">
              <a16:creationId xmlns:a16="http://schemas.microsoft.com/office/drawing/2014/main" id="{FABB0582-2C99-49EA-830C-A15DE71DDDA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20</xdr:col>
      <xdr:colOff>79324</xdr:colOff>
      <xdr:row>0</xdr:row>
      <xdr:rowOff>27572</xdr:rowOff>
    </xdr:from>
    <xdr:to>
      <xdr:col>30</xdr:col>
      <xdr:colOff>3125</xdr:colOff>
      <xdr:row>23</xdr:row>
      <xdr:rowOff>125084</xdr:rowOff>
    </xdr:to>
    <xdr:graphicFrame macro="">
      <xdr:nvGraphicFramePr>
        <xdr:cNvPr id="7" name="Chart 6">
          <a:extLst>
            <a:ext uri="{FF2B5EF4-FFF2-40B4-BE49-F238E27FC236}">
              <a16:creationId xmlns:a16="http://schemas.microsoft.com/office/drawing/2014/main" id="{5EE7C8D2-FBD2-4D7D-BEA1-FC10475566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63975</xdr:colOff>
      <xdr:row>24</xdr:row>
      <xdr:rowOff>120826</xdr:rowOff>
    </xdr:from>
    <xdr:to>
      <xdr:col>9</xdr:col>
      <xdr:colOff>600344</xdr:colOff>
      <xdr:row>47</xdr:row>
      <xdr:rowOff>143740</xdr:rowOff>
    </xdr:to>
    <xdr:graphicFrame macro="">
      <xdr:nvGraphicFramePr>
        <xdr:cNvPr id="9" name="Chart 8">
          <a:extLst>
            <a:ext uri="{FF2B5EF4-FFF2-40B4-BE49-F238E27FC236}">
              <a16:creationId xmlns:a16="http://schemas.microsoft.com/office/drawing/2014/main" id="{D14C86D2-920C-48A6-A1C8-31B2E360AB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117763</xdr:colOff>
      <xdr:row>24</xdr:row>
      <xdr:rowOff>129790</xdr:rowOff>
    </xdr:from>
    <xdr:to>
      <xdr:col>20</xdr:col>
      <xdr:colOff>44532</xdr:colOff>
      <xdr:row>47</xdr:row>
      <xdr:rowOff>152704</xdr:rowOff>
    </xdr:to>
    <xdr:graphicFrame macro="">
      <xdr:nvGraphicFramePr>
        <xdr:cNvPr id="11" name="Chart 10">
          <a:extLst>
            <a:ext uri="{FF2B5EF4-FFF2-40B4-BE49-F238E27FC236}">
              <a16:creationId xmlns:a16="http://schemas.microsoft.com/office/drawing/2014/main" id="{A2573074-F23C-4D4A-8E9F-B12DF027747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20</xdr:col>
      <xdr:colOff>126727</xdr:colOff>
      <xdr:row>24</xdr:row>
      <xdr:rowOff>138754</xdr:rowOff>
    </xdr:from>
    <xdr:to>
      <xdr:col>30</xdr:col>
      <xdr:colOff>53496</xdr:colOff>
      <xdr:row>47</xdr:row>
      <xdr:rowOff>154048</xdr:rowOff>
    </xdr:to>
    <xdr:graphicFrame macro="">
      <xdr:nvGraphicFramePr>
        <xdr:cNvPr id="13" name="Chart 12">
          <a:extLst>
            <a:ext uri="{FF2B5EF4-FFF2-40B4-BE49-F238E27FC236}">
              <a16:creationId xmlns:a16="http://schemas.microsoft.com/office/drawing/2014/main" id="{5F3FD58C-3D48-4998-AE36-97548555B3B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17.xml><?xml version="1.0" encoding="utf-8"?>
<xdr:wsDr xmlns:xdr="http://schemas.openxmlformats.org/drawingml/2006/spreadsheetDrawing" xmlns:a="http://schemas.openxmlformats.org/drawingml/2006/main">
  <xdr:twoCellAnchor>
    <xdr:from>
      <xdr:col>0</xdr:col>
      <xdr:colOff>0</xdr:colOff>
      <xdr:row>0</xdr:row>
      <xdr:rowOff>0</xdr:rowOff>
    </xdr:from>
    <xdr:to>
      <xdr:col>10</xdr:col>
      <xdr:colOff>141513</xdr:colOff>
      <xdr:row>17</xdr:row>
      <xdr:rowOff>103440</xdr:rowOff>
    </xdr:to>
    <xdr:graphicFrame macro="">
      <xdr:nvGraphicFramePr>
        <xdr:cNvPr id="18" name="Chart 17">
          <a:extLst>
            <a:ext uri="{FF2B5EF4-FFF2-40B4-BE49-F238E27FC236}">
              <a16:creationId xmlns:a16="http://schemas.microsoft.com/office/drawing/2014/main" id="{C106E24C-CDA0-44E5-B033-1EED9F3C06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10888</xdr:colOff>
      <xdr:row>18</xdr:row>
      <xdr:rowOff>44187</xdr:rowOff>
    </xdr:from>
    <xdr:to>
      <xdr:col>10</xdr:col>
      <xdr:colOff>169222</xdr:colOff>
      <xdr:row>35</xdr:row>
      <xdr:rowOff>96166</xdr:rowOff>
    </xdr:to>
    <xdr:graphicFrame macro="">
      <xdr:nvGraphicFramePr>
        <xdr:cNvPr id="19" name="Chart 18">
          <a:extLst>
            <a:ext uri="{FF2B5EF4-FFF2-40B4-BE49-F238E27FC236}">
              <a16:creationId xmlns:a16="http://schemas.microsoft.com/office/drawing/2014/main" id="{33AA3111-7051-4A0C-8A2C-0B04588EE7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9896</xdr:colOff>
      <xdr:row>36</xdr:row>
      <xdr:rowOff>75509</xdr:rowOff>
    </xdr:from>
    <xdr:to>
      <xdr:col>10</xdr:col>
      <xdr:colOff>183076</xdr:colOff>
      <xdr:row>55</xdr:row>
      <xdr:rowOff>34514</xdr:rowOff>
    </xdr:to>
    <xdr:graphicFrame macro="">
      <xdr:nvGraphicFramePr>
        <xdr:cNvPr id="24" name="Chart 23">
          <a:extLst>
            <a:ext uri="{FF2B5EF4-FFF2-40B4-BE49-F238E27FC236}">
              <a16:creationId xmlns:a16="http://schemas.microsoft.com/office/drawing/2014/main" id="{EB51A007-F1F2-4C1E-9428-9C66059D857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0</xdr:colOff>
      <xdr:row>0</xdr:row>
      <xdr:rowOff>0</xdr:rowOff>
    </xdr:from>
    <xdr:to>
      <xdr:col>21</xdr:col>
      <xdr:colOff>141513</xdr:colOff>
      <xdr:row>17</xdr:row>
      <xdr:rowOff>103440</xdr:rowOff>
    </xdr:to>
    <xdr:graphicFrame macro="">
      <xdr:nvGraphicFramePr>
        <xdr:cNvPr id="25" name="Chart 24">
          <a:extLst>
            <a:ext uri="{FF2B5EF4-FFF2-40B4-BE49-F238E27FC236}">
              <a16:creationId xmlns:a16="http://schemas.microsoft.com/office/drawing/2014/main" id="{7CFFA827-BCFA-4319-9BB2-AAE7299638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10888</xdr:colOff>
      <xdr:row>18</xdr:row>
      <xdr:rowOff>44187</xdr:rowOff>
    </xdr:from>
    <xdr:to>
      <xdr:col>21</xdr:col>
      <xdr:colOff>169222</xdr:colOff>
      <xdr:row>35</xdr:row>
      <xdr:rowOff>96166</xdr:rowOff>
    </xdr:to>
    <xdr:graphicFrame macro="">
      <xdr:nvGraphicFramePr>
        <xdr:cNvPr id="26" name="Chart 25">
          <a:extLst>
            <a:ext uri="{FF2B5EF4-FFF2-40B4-BE49-F238E27FC236}">
              <a16:creationId xmlns:a16="http://schemas.microsoft.com/office/drawing/2014/main" id="{1433B893-067D-4547-B18F-DCEB69799D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11</xdr:col>
      <xdr:colOff>9896</xdr:colOff>
      <xdr:row>36</xdr:row>
      <xdr:rowOff>75509</xdr:rowOff>
    </xdr:from>
    <xdr:to>
      <xdr:col>21</xdr:col>
      <xdr:colOff>183076</xdr:colOff>
      <xdr:row>55</xdr:row>
      <xdr:rowOff>34514</xdr:rowOff>
    </xdr:to>
    <xdr:graphicFrame macro="">
      <xdr:nvGraphicFramePr>
        <xdr:cNvPr id="27" name="Chart 26">
          <a:extLst>
            <a:ext uri="{FF2B5EF4-FFF2-40B4-BE49-F238E27FC236}">
              <a16:creationId xmlns:a16="http://schemas.microsoft.com/office/drawing/2014/main" id="{264654E7-0B73-4ED6-83F9-223B1686E0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22</xdr:col>
      <xdr:colOff>0</xdr:colOff>
      <xdr:row>0</xdr:row>
      <xdr:rowOff>0</xdr:rowOff>
    </xdr:from>
    <xdr:to>
      <xdr:col>32</xdr:col>
      <xdr:colOff>141513</xdr:colOff>
      <xdr:row>17</xdr:row>
      <xdr:rowOff>100669</xdr:rowOff>
    </xdr:to>
    <xdr:graphicFrame macro="">
      <xdr:nvGraphicFramePr>
        <xdr:cNvPr id="28" name="Chart 27">
          <a:extLst>
            <a:ext uri="{FF2B5EF4-FFF2-40B4-BE49-F238E27FC236}">
              <a16:creationId xmlns:a16="http://schemas.microsoft.com/office/drawing/2014/main" id="{DE6A00F6-DB29-4886-9645-9B06273972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22</xdr:col>
      <xdr:colOff>10888</xdr:colOff>
      <xdr:row>18</xdr:row>
      <xdr:rowOff>44187</xdr:rowOff>
    </xdr:from>
    <xdr:to>
      <xdr:col>32</xdr:col>
      <xdr:colOff>169222</xdr:colOff>
      <xdr:row>35</xdr:row>
      <xdr:rowOff>93395</xdr:rowOff>
    </xdr:to>
    <xdr:graphicFrame macro="">
      <xdr:nvGraphicFramePr>
        <xdr:cNvPr id="29" name="Chart 28">
          <a:extLst>
            <a:ext uri="{FF2B5EF4-FFF2-40B4-BE49-F238E27FC236}">
              <a16:creationId xmlns:a16="http://schemas.microsoft.com/office/drawing/2014/main" id="{2FCA88CD-A5D7-4E45-BFEB-2C05876569C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22</xdr:col>
      <xdr:colOff>9896</xdr:colOff>
      <xdr:row>36</xdr:row>
      <xdr:rowOff>75508</xdr:rowOff>
    </xdr:from>
    <xdr:to>
      <xdr:col>32</xdr:col>
      <xdr:colOff>183076</xdr:colOff>
      <xdr:row>55</xdr:row>
      <xdr:rowOff>31743</xdr:rowOff>
    </xdr:to>
    <xdr:graphicFrame macro="">
      <xdr:nvGraphicFramePr>
        <xdr:cNvPr id="30" name="Chart 29">
          <a:extLst>
            <a:ext uri="{FF2B5EF4-FFF2-40B4-BE49-F238E27FC236}">
              <a16:creationId xmlns:a16="http://schemas.microsoft.com/office/drawing/2014/main" id="{4248ACF4-E36E-454F-BFB9-327DE2D28F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33</xdr:col>
      <xdr:colOff>0</xdr:colOff>
      <xdr:row>0</xdr:row>
      <xdr:rowOff>0</xdr:rowOff>
    </xdr:from>
    <xdr:to>
      <xdr:col>43</xdr:col>
      <xdr:colOff>141513</xdr:colOff>
      <xdr:row>17</xdr:row>
      <xdr:rowOff>100669</xdr:rowOff>
    </xdr:to>
    <xdr:graphicFrame macro="">
      <xdr:nvGraphicFramePr>
        <xdr:cNvPr id="31" name="Chart 30">
          <a:extLst>
            <a:ext uri="{FF2B5EF4-FFF2-40B4-BE49-F238E27FC236}">
              <a16:creationId xmlns:a16="http://schemas.microsoft.com/office/drawing/2014/main" id="{88C37436-D598-48F5-BFD9-4ADDDFEDA5C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33</xdr:col>
      <xdr:colOff>10888</xdr:colOff>
      <xdr:row>18</xdr:row>
      <xdr:rowOff>44187</xdr:rowOff>
    </xdr:from>
    <xdr:to>
      <xdr:col>43</xdr:col>
      <xdr:colOff>169222</xdr:colOff>
      <xdr:row>35</xdr:row>
      <xdr:rowOff>93394</xdr:rowOff>
    </xdr:to>
    <xdr:graphicFrame macro="">
      <xdr:nvGraphicFramePr>
        <xdr:cNvPr id="32" name="Chart 31">
          <a:extLst>
            <a:ext uri="{FF2B5EF4-FFF2-40B4-BE49-F238E27FC236}">
              <a16:creationId xmlns:a16="http://schemas.microsoft.com/office/drawing/2014/main" id="{8B1425E9-463C-4C66-8771-EE2DFAF570C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33</xdr:col>
      <xdr:colOff>9896</xdr:colOff>
      <xdr:row>36</xdr:row>
      <xdr:rowOff>75508</xdr:rowOff>
    </xdr:from>
    <xdr:to>
      <xdr:col>43</xdr:col>
      <xdr:colOff>183076</xdr:colOff>
      <xdr:row>55</xdr:row>
      <xdr:rowOff>31743</xdr:rowOff>
    </xdr:to>
    <xdr:graphicFrame macro="">
      <xdr:nvGraphicFramePr>
        <xdr:cNvPr id="33" name="Chart 32">
          <a:extLst>
            <a:ext uri="{FF2B5EF4-FFF2-40B4-BE49-F238E27FC236}">
              <a16:creationId xmlns:a16="http://schemas.microsoft.com/office/drawing/2014/main" id="{14CBC718-2BD4-48FD-880C-9F27711A56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wsDr>
</file>

<file path=xl/drawings/drawing18.xml><?xml version="1.0" encoding="utf-8"?>
<xdr:wsDr xmlns:xdr="http://schemas.openxmlformats.org/drawingml/2006/spreadsheetDrawing" xmlns:a="http://schemas.openxmlformats.org/drawingml/2006/main">
  <xdr:twoCellAnchor>
    <xdr:from>
      <xdr:col>0</xdr:col>
      <xdr:colOff>0</xdr:colOff>
      <xdr:row>0</xdr:row>
      <xdr:rowOff>10885</xdr:rowOff>
    </xdr:from>
    <xdr:to>
      <xdr:col>10</xdr:col>
      <xdr:colOff>141513</xdr:colOff>
      <xdr:row>16</xdr:row>
      <xdr:rowOff>142900</xdr:rowOff>
    </xdr:to>
    <xdr:graphicFrame macro="">
      <xdr:nvGraphicFramePr>
        <xdr:cNvPr id="35" name="Chart 34">
          <a:extLst>
            <a:ext uri="{FF2B5EF4-FFF2-40B4-BE49-F238E27FC236}">
              <a16:creationId xmlns:a16="http://schemas.microsoft.com/office/drawing/2014/main" id="{40022BD7-BAFC-48A2-8B43-4ECE970F3B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10888</xdr:colOff>
      <xdr:row>17</xdr:row>
      <xdr:rowOff>63237</xdr:rowOff>
    </xdr:from>
    <xdr:to>
      <xdr:col>10</xdr:col>
      <xdr:colOff>169222</xdr:colOff>
      <xdr:row>33</xdr:row>
      <xdr:rowOff>143791</xdr:rowOff>
    </xdr:to>
    <xdr:graphicFrame macro="">
      <xdr:nvGraphicFramePr>
        <xdr:cNvPr id="36" name="Chart 35">
          <a:extLst>
            <a:ext uri="{FF2B5EF4-FFF2-40B4-BE49-F238E27FC236}">
              <a16:creationId xmlns:a16="http://schemas.microsoft.com/office/drawing/2014/main" id="{36513004-6B58-4F14-A885-6805C624DC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9896</xdr:colOff>
      <xdr:row>34</xdr:row>
      <xdr:rowOff>113609</xdr:rowOff>
    </xdr:from>
    <xdr:to>
      <xdr:col>10</xdr:col>
      <xdr:colOff>183076</xdr:colOff>
      <xdr:row>52</xdr:row>
      <xdr:rowOff>82139</xdr:rowOff>
    </xdr:to>
    <xdr:graphicFrame macro="">
      <xdr:nvGraphicFramePr>
        <xdr:cNvPr id="37" name="Chart 36">
          <a:extLst>
            <a:ext uri="{FF2B5EF4-FFF2-40B4-BE49-F238E27FC236}">
              <a16:creationId xmlns:a16="http://schemas.microsoft.com/office/drawing/2014/main" id="{82599184-09AF-47A5-9935-D73C6401A5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0</xdr:colOff>
      <xdr:row>0</xdr:row>
      <xdr:rowOff>1</xdr:rowOff>
    </xdr:from>
    <xdr:to>
      <xdr:col>21</xdr:col>
      <xdr:colOff>141513</xdr:colOff>
      <xdr:row>16</xdr:row>
      <xdr:rowOff>152401</xdr:rowOff>
    </xdr:to>
    <xdr:graphicFrame macro="">
      <xdr:nvGraphicFramePr>
        <xdr:cNvPr id="38" name="Chart 37">
          <a:extLst>
            <a:ext uri="{FF2B5EF4-FFF2-40B4-BE49-F238E27FC236}">
              <a16:creationId xmlns:a16="http://schemas.microsoft.com/office/drawing/2014/main" id="{BE8A80B6-4A2B-42A4-95C3-50511EC726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10888</xdr:colOff>
      <xdr:row>17</xdr:row>
      <xdr:rowOff>65315</xdr:rowOff>
    </xdr:from>
    <xdr:to>
      <xdr:col>21</xdr:col>
      <xdr:colOff>169222</xdr:colOff>
      <xdr:row>33</xdr:row>
      <xdr:rowOff>152400</xdr:rowOff>
    </xdr:to>
    <xdr:graphicFrame macro="">
      <xdr:nvGraphicFramePr>
        <xdr:cNvPr id="39" name="Chart 38">
          <a:extLst>
            <a:ext uri="{FF2B5EF4-FFF2-40B4-BE49-F238E27FC236}">
              <a16:creationId xmlns:a16="http://schemas.microsoft.com/office/drawing/2014/main" id="{F53900CB-B581-4DEF-B981-36156969463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10</xdr:col>
      <xdr:colOff>597725</xdr:colOff>
      <xdr:row>34</xdr:row>
      <xdr:rowOff>124494</xdr:rowOff>
    </xdr:from>
    <xdr:to>
      <xdr:col>21</xdr:col>
      <xdr:colOff>161305</xdr:colOff>
      <xdr:row>52</xdr:row>
      <xdr:rowOff>76200</xdr:rowOff>
    </xdr:to>
    <xdr:graphicFrame macro="">
      <xdr:nvGraphicFramePr>
        <xdr:cNvPr id="40" name="Chart 39">
          <a:extLst>
            <a:ext uri="{FF2B5EF4-FFF2-40B4-BE49-F238E27FC236}">
              <a16:creationId xmlns:a16="http://schemas.microsoft.com/office/drawing/2014/main" id="{1600A46A-C136-4F1B-B7F5-7F4E27312AB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22</xdr:col>
      <xdr:colOff>0</xdr:colOff>
      <xdr:row>0</xdr:row>
      <xdr:rowOff>0</xdr:rowOff>
    </xdr:from>
    <xdr:to>
      <xdr:col>32</xdr:col>
      <xdr:colOff>141513</xdr:colOff>
      <xdr:row>17</xdr:row>
      <xdr:rowOff>31273</xdr:rowOff>
    </xdr:to>
    <xdr:graphicFrame macro="">
      <xdr:nvGraphicFramePr>
        <xdr:cNvPr id="41" name="Chart 40">
          <a:extLst>
            <a:ext uri="{FF2B5EF4-FFF2-40B4-BE49-F238E27FC236}">
              <a16:creationId xmlns:a16="http://schemas.microsoft.com/office/drawing/2014/main" id="{62CCACC2-457C-4826-8B5E-F2AD65E1729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21</xdr:col>
      <xdr:colOff>598716</xdr:colOff>
      <xdr:row>17</xdr:row>
      <xdr:rowOff>101337</xdr:rowOff>
    </xdr:from>
    <xdr:to>
      <xdr:col>32</xdr:col>
      <xdr:colOff>147450</xdr:colOff>
      <xdr:row>34</xdr:row>
      <xdr:rowOff>81148</xdr:rowOff>
    </xdr:to>
    <xdr:graphicFrame macro="">
      <xdr:nvGraphicFramePr>
        <xdr:cNvPr id="42" name="Chart 41">
          <a:extLst>
            <a:ext uri="{FF2B5EF4-FFF2-40B4-BE49-F238E27FC236}">
              <a16:creationId xmlns:a16="http://schemas.microsoft.com/office/drawing/2014/main" id="{80C2C892-39C1-424C-AFCD-29FCE4EBE5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21</xdr:col>
      <xdr:colOff>608611</xdr:colOff>
      <xdr:row>34</xdr:row>
      <xdr:rowOff>146265</xdr:rowOff>
    </xdr:from>
    <xdr:to>
      <xdr:col>32</xdr:col>
      <xdr:colOff>172191</xdr:colOff>
      <xdr:row>53</xdr:row>
      <xdr:rowOff>24939</xdr:rowOff>
    </xdr:to>
    <xdr:graphicFrame macro="">
      <xdr:nvGraphicFramePr>
        <xdr:cNvPr id="43" name="Chart 42">
          <a:extLst>
            <a:ext uri="{FF2B5EF4-FFF2-40B4-BE49-F238E27FC236}">
              <a16:creationId xmlns:a16="http://schemas.microsoft.com/office/drawing/2014/main" id="{436ED799-F158-4C0B-B98B-063FE93451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33</xdr:col>
      <xdr:colOff>0</xdr:colOff>
      <xdr:row>0</xdr:row>
      <xdr:rowOff>0</xdr:rowOff>
    </xdr:from>
    <xdr:to>
      <xdr:col>43</xdr:col>
      <xdr:colOff>141513</xdr:colOff>
      <xdr:row>17</xdr:row>
      <xdr:rowOff>65315</xdr:rowOff>
    </xdr:to>
    <xdr:graphicFrame macro="">
      <xdr:nvGraphicFramePr>
        <xdr:cNvPr id="44" name="Chart 43">
          <a:extLst>
            <a:ext uri="{FF2B5EF4-FFF2-40B4-BE49-F238E27FC236}">
              <a16:creationId xmlns:a16="http://schemas.microsoft.com/office/drawing/2014/main" id="{FD189B22-D5AD-4D99-8A9C-0C94C47121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32</xdr:col>
      <xdr:colOff>598717</xdr:colOff>
      <xdr:row>17</xdr:row>
      <xdr:rowOff>118754</xdr:rowOff>
    </xdr:from>
    <xdr:to>
      <xdr:col>43</xdr:col>
      <xdr:colOff>147451</xdr:colOff>
      <xdr:row>34</xdr:row>
      <xdr:rowOff>87085</xdr:rowOff>
    </xdr:to>
    <xdr:graphicFrame macro="">
      <xdr:nvGraphicFramePr>
        <xdr:cNvPr id="45" name="Chart 44">
          <a:extLst>
            <a:ext uri="{FF2B5EF4-FFF2-40B4-BE49-F238E27FC236}">
              <a16:creationId xmlns:a16="http://schemas.microsoft.com/office/drawing/2014/main" id="{01CB8B11-4CEE-4A16-9E15-555640995B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32</xdr:col>
      <xdr:colOff>608610</xdr:colOff>
      <xdr:row>34</xdr:row>
      <xdr:rowOff>148442</xdr:rowOff>
    </xdr:from>
    <xdr:to>
      <xdr:col>43</xdr:col>
      <xdr:colOff>172190</xdr:colOff>
      <xdr:row>53</xdr:row>
      <xdr:rowOff>54428</xdr:rowOff>
    </xdr:to>
    <xdr:graphicFrame macro="">
      <xdr:nvGraphicFramePr>
        <xdr:cNvPr id="46" name="Chart 45">
          <a:extLst>
            <a:ext uri="{FF2B5EF4-FFF2-40B4-BE49-F238E27FC236}">
              <a16:creationId xmlns:a16="http://schemas.microsoft.com/office/drawing/2014/main" id="{9CED658A-3809-47EB-8E9C-819B6A484C3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wsDr>
</file>

<file path=xl/drawings/drawing19.xml><?xml version="1.0" encoding="utf-8"?>
<xdr:wsDr xmlns:xdr="http://schemas.openxmlformats.org/drawingml/2006/spreadsheetDrawing" xmlns:a="http://schemas.openxmlformats.org/drawingml/2006/main">
  <xdr:twoCellAnchor>
    <xdr:from>
      <xdr:col>0</xdr:col>
      <xdr:colOff>0</xdr:colOff>
      <xdr:row>0</xdr:row>
      <xdr:rowOff>0</xdr:rowOff>
    </xdr:from>
    <xdr:to>
      <xdr:col>9</xdr:col>
      <xdr:colOff>450272</xdr:colOff>
      <xdr:row>18</xdr:row>
      <xdr:rowOff>75853</xdr:rowOff>
    </xdr:to>
    <xdr:graphicFrame macro="">
      <xdr:nvGraphicFramePr>
        <xdr:cNvPr id="21" name="Chart 20">
          <a:extLst>
            <a:ext uri="{FF2B5EF4-FFF2-40B4-BE49-F238E27FC236}">
              <a16:creationId xmlns:a16="http://schemas.microsoft.com/office/drawing/2014/main" id="{7ACF3686-26D2-4419-8858-86B10E9248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0</xdr:colOff>
      <xdr:row>0</xdr:row>
      <xdr:rowOff>0</xdr:rowOff>
    </xdr:from>
    <xdr:to>
      <xdr:col>19</xdr:col>
      <xdr:colOff>450272</xdr:colOff>
      <xdr:row>18</xdr:row>
      <xdr:rowOff>75853</xdr:rowOff>
    </xdr:to>
    <xdr:graphicFrame macro="">
      <xdr:nvGraphicFramePr>
        <xdr:cNvPr id="25" name="Chart 24">
          <a:extLst>
            <a:ext uri="{FF2B5EF4-FFF2-40B4-BE49-F238E27FC236}">
              <a16:creationId xmlns:a16="http://schemas.microsoft.com/office/drawing/2014/main" id="{62A2A69E-48AB-4F69-9644-CED47CE467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20</xdr:col>
      <xdr:colOff>0</xdr:colOff>
      <xdr:row>0</xdr:row>
      <xdr:rowOff>0</xdr:rowOff>
    </xdr:from>
    <xdr:to>
      <xdr:col>29</xdr:col>
      <xdr:colOff>450272</xdr:colOff>
      <xdr:row>18</xdr:row>
      <xdr:rowOff>75852</xdr:rowOff>
    </xdr:to>
    <xdr:graphicFrame macro="">
      <xdr:nvGraphicFramePr>
        <xdr:cNvPr id="26" name="Chart 25">
          <a:extLst>
            <a:ext uri="{FF2B5EF4-FFF2-40B4-BE49-F238E27FC236}">
              <a16:creationId xmlns:a16="http://schemas.microsoft.com/office/drawing/2014/main" id="{EE65D6F7-A5E9-4879-A77A-233DE3225B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30</xdr:col>
      <xdr:colOff>0</xdr:colOff>
      <xdr:row>0</xdr:row>
      <xdr:rowOff>0</xdr:rowOff>
    </xdr:from>
    <xdr:to>
      <xdr:col>39</xdr:col>
      <xdr:colOff>450272</xdr:colOff>
      <xdr:row>18</xdr:row>
      <xdr:rowOff>75852</xdr:rowOff>
    </xdr:to>
    <xdr:graphicFrame macro="">
      <xdr:nvGraphicFramePr>
        <xdr:cNvPr id="27" name="Chart 26">
          <a:extLst>
            <a:ext uri="{FF2B5EF4-FFF2-40B4-BE49-F238E27FC236}">
              <a16:creationId xmlns:a16="http://schemas.microsoft.com/office/drawing/2014/main" id="{F62EFE9B-F221-4164-B58F-97F1597385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0</xdr:colOff>
      <xdr:row>19</xdr:row>
      <xdr:rowOff>0</xdr:rowOff>
    </xdr:from>
    <xdr:to>
      <xdr:col>9</xdr:col>
      <xdr:colOff>450272</xdr:colOff>
      <xdr:row>38</xdr:row>
      <xdr:rowOff>32038</xdr:rowOff>
    </xdr:to>
    <xdr:graphicFrame macro="">
      <xdr:nvGraphicFramePr>
        <xdr:cNvPr id="28" name="Chart 27">
          <a:extLst>
            <a:ext uri="{FF2B5EF4-FFF2-40B4-BE49-F238E27FC236}">
              <a16:creationId xmlns:a16="http://schemas.microsoft.com/office/drawing/2014/main" id="{E0215F18-9043-4745-8CC7-67E3BAB48B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10</xdr:col>
      <xdr:colOff>0</xdr:colOff>
      <xdr:row>19</xdr:row>
      <xdr:rowOff>0</xdr:rowOff>
    </xdr:from>
    <xdr:to>
      <xdr:col>19</xdr:col>
      <xdr:colOff>450272</xdr:colOff>
      <xdr:row>38</xdr:row>
      <xdr:rowOff>32038</xdr:rowOff>
    </xdr:to>
    <xdr:graphicFrame macro="">
      <xdr:nvGraphicFramePr>
        <xdr:cNvPr id="32" name="Chart 31">
          <a:extLst>
            <a:ext uri="{FF2B5EF4-FFF2-40B4-BE49-F238E27FC236}">
              <a16:creationId xmlns:a16="http://schemas.microsoft.com/office/drawing/2014/main" id="{90060873-CB9C-432A-84AE-73D490CE26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20</xdr:col>
      <xdr:colOff>0</xdr:colOff>
      <xdr:row>19</xdr:row>
      <xdr:rowOff>0</xdr:rowOff>
    </xdr:from>
    <xdr:to>
      <xdr:col>29</xdr:col>
      <xdr:colOff>450272</xdr:colOff>
      <xdr:row>38</xdr:row>
      <xdr:rowOff>32037</xdr:rowOff>
    </xdr:to>
    <xdr:graphicFrame macro="">
      <xdr:nvGraphicFramePr>
        <xdr:cNvPr id="33" name="Chart 32">
          <a:extLst>
            <a:ext uri="{FF2B5EF4-FFF2-40B4-BE49-F238E27FC236}">
              <a16:creationId xmlns:a16="http://schemas.microsoft.com/office/drawing/2014/main" id="{7F812416-D606-413B-9B43-E4D8B0842D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30</xdr:col>
      <xdr:colOff>0</xdr:colOff>
      <xdr:row>19</xdr:row>
      <xdr:rowOff>0</xdr:rowOff>
    </xdr:from>
    <xdr:to>
      <xdr:col>39</xdr:col>
      <xdr:colOff>450272</xdr:colOff>
      <xdr:row>38</xdr:row>
      <xdr:rowOff>32037</xdr:rowOff>
    </xdr:to>
    <xdr:graphicFrame macro="">
      <xdr:nvGraphicFramePr>
        <xdr:cNvPr id="34" name="Chart 33">
          <a:extLst>
            <a:ext uri="{FF2B5EF4-FFF2-40B4-BE49-F238E27FC236}">
              <a16:creationId xmlns:a16="http://schemas.microsoft.com/office/drawing/2014/main" id="{A630D0BE-045D-40E7-B82D-740158B4728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richData/rdRichValueTypes.xml><?xml version="1.0" encoding="utf-8"?>
<rvTypesInfo xmlns="http://schemas.microsoft.com/office/spreadsheetml/2017/richdata2">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2">
  <rv s="0">
    <v>13</v>
    <v>3</v>
  </rv>
  <rv s="1">
    <v>1</v>
    <v>8</v>
    <v>0</v>
    <v>1</v>
  </rv>
</rvData>
</file>

<file path=xl/richData/rdrichvaluestructure.xml><?xml version="1.0" encoding="utf-8"?>
<rvStructures xmlns="http://schemas.microsoft.com/office/spreadsheetml/2017/richdata" count="2">
  <s t="_error">
    <k n="errorType" t="i"/>
    <k n="subType" t="i"/>
  </s>
  <s t="_error">
    <k n="colOffset" t="i"/>
    <k n="errorType" t="i"/>
    <k n="rwOffset" t="i"/>
    <k n="subType" t="i"/>
  </s>
</rvStructure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6.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7.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8.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9.bin"/></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1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rgb="FF212121"/>
  </sheetPr>
  <dimension ref="A1:AZ1006"/>
  <sheetViews>
    <sheetView showGridLines="0" zoomScale="115" zoomScaleNormal="115" workbookViewId="0">
      <selection activeCell="D63" sqref="D63"/>
    </sheetView>
  </sheetViews>
  <sheetFormatPr defaultColWidth="8.88671875" defaultRowHeight="13.8" x14ac:dyDescent="0.25"/>
  <cols>
    <col min="1" max="1" width="5.77734375" style="2" customWidth="1"/>
    <col min="2" max="16384" width="8.88671875" style="2"/>
  </cols>
  <sheetData>
    <row r="1" spans="1:52" s="6" customFormat="1" ht="16.5" customHeight="1" x14ac:dyDescent="0.25">
      <c r="A1" s="5"/>
      <c r="B1" s="5"/>
      <c r="C1" s="5"/>
      <c r="D1" s="5"/>
      <c r="E1" s="5"/>
      <c r="F1" s="5"/>
      <c r="G1" s="5"/>
      <c r="H1" s="5"/>
      <c r="I1" s="5"/>
      <c r="J1" s="5"/>
      <c r="K1" s="5"/>
      <c r="L1" s="5"/>
      <c r="M1" s="5"/>
      <c r="N1" s="5"/>
      <c r="O1" s="5"/>
      <c r="P1" s="5"/>
      <c r="Q1" s="5"/>
      <c r="R1" s="5"/>
      <c r="S1" s="5"/>
      <c r="T1" s="5"/>
      <c r="U1" s="5"/>
      <c r="V1" s="5"/>
      <c r="W1" s="5"/>
      <c r="X1" s="5"/>
      <c r="Y1" s="5"/>
      <c r="Z1" s="5"/>
      <c r="AA1" s="5"/>
      <c r="AB1" s="5"/>
      <c r="AC1" s="5"/>
      <c r="AD1" s="5"/>
      <c r="AE1" s="5"/>
      <c r="AF1" s="5"/>
      <c r="AG1" s="5"/>
      <c r="AH1" s="5"/>
      <c r="AI1" s="5"/>
      <c r="AJ1" s="5"/>
      <c r="AK1" s="5"/>
      <c r="AL1" s="5"/>
      <c r="AM1" s="5"/>
      <c r="AN1" s="5"/>
      <c r="AO1" s="5"/>
      <c r="AP1" s="5"/>
      <c r="AQ1" s="5"/>
      <c r="AR1" s="5"/>
      <c r="AS1" s="5"/>
      <c r="AT1" s="5"/>
      <c r="AU1" s="5"/>
      <c r="AV1" s="5"/>
      <c r="AW1" s="5"/>
      <c r="AX1" s="5"/>
      <c r="AY1" s="5"/>
      <c r="AZ1" s="5"/>
    </row>
    <row r="2" spans="1:52" s="8" customFormat="1" ht="14.25" customHeight="1" x14ac:dyDescent="0.25">
      <c r="A2" s="7"/>
      <c r="B2" s="7"/>
      <c r="C2" s="7"/>
      <c r="D2" s="7"/>
      <c r="E2" s="7"/>
      <c r="F2" s="7"/>
      <c r="G2" s="7"/>
      <c r="H2" s="7"/>
      <c r="I2" s="7"/>
      <c r="J2" s="7"/>
      <c r="K2" s="7"/>
      <c r="L2" s="7"/>
      <c r="M2" s="7"/>
      <c r="N2" s="7"/>
      <c r="O2" s="7"/>
      <c r="P2" s="7"/>
      <c r="Q2" s="7"/>
      <c r="R2" s="7"/>
      <c r="S2" s="7"/>
      <c r="T2" s="7"/>
      <c r="U2" s="7"/>
      <c r="V2" s="7"/>
      <c r="W2" s="7"/>
      <c r="X2" s="7"/>
      <c r="Y2" s="7"/>
      <c r="Z2" s="7"/>
      <c r="AA2" s="7"/>
      <c r="AB2" s="7"/>
      <c r="AC2" s="7"/>
      <c r="AD2" s="7"/>
      <c r="AE2" s="7"/>
      <c r="AF2" s="7"/>
      <c r="AG2" s="7"/>
      <c r="AH2" s="7"/>
      <c r="AI2" s="7"/>
      <c r="AJ2" s="7"/>
      <c r="AK2" s="7"/>
      <c r="AL2" s="7"/>
      <c r="AM2" s="7"/>
      <c r="AN2" s="7"/>
      <c r="AO2" s="7"/>
      <c r="AP2" s="7"/>
      <c r="AQ2" s="7"/>
      <c r="AR2" s="7"/>
      <c r="AS2" s="7"/>
      <c r="AT2" s="7"/>
      <c r="AU2" s="7"/>
      <c r="AV2" s="7"/>
      <c r="AW2" s="7"/>
      <c r="AX2" s="7"/>
      <c r="AY2" s="7"/>
      <c r="AZ2" s="7"/>
    </row>
    <row r="3" spans="1:52" x14ac:dyDescent="0.25">
      <c r="A3" s="1"/>
      <c r="B3" s="1"/>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24.6" x14ac:dyDescent="0.4">
      <c r="A4" s="1"/>
      <c r="B4" s="9" t="s">
        <v>14</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1" t="s">
        <v>12</v>
      </c>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25">
      <c r="A6" s="1"/>
      <c r="B6" s="1"/>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row>
    <row r="7" spans="1:52" x14ac:dyDescent="0.25">
      <c r="A7" s="1"/>
      <c r="C7" s="1"/>
      <c r="D7" s="1"/>
      <c r="E7" s="1"/>
      <c r="F7" s="1"/>
      <c r="G7" s="1"/>
      <c r="H7" s="1"/>
      <c r="I7" s="1"/>
      <c r="J7" s="459" t="s">
        <v>543</v>
      </c>
      <c r="K7" s="1"/>
      <c r="L7" s="1"/>
      <c r="M7" s="1"/>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c r="AZ7" s="1"/>
    </row>
    <row r="8" spans="1:52" x14ac:dyDescent="0.25">
      <c r="A8" s="1"/>
      <c r="B8" s="1"/>
      <c r="C8" s="1"/>
      <c r="D8" s="1"/>
      <c r="E8" s="1"/>
      <c r="F8" s="1"/>
      <c r="G8" s="1"/>
      <c r="H8" s="1"/>
      <c r="I8" s="1"/>
      <c r="J8" s="460" t="s">
        <v>542</v>
      </c>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row>
    <row r="9" spans="1:52" x14ac:dyDescent="0.25">
      <c r="A9" s="1"/>
      <c r="B9" s="1"/>
      <c r="C9" s="1"/>
      <c r="D9" s="1"/>
      <c r="E9" s="1"/>
      <c r="F9" s="1"/>
      <c r="G9" s="1"/>
      <c r="H9" s="1"/>
      <c r="I9" s="1"/>
      <c r="J9" s="460" t="s">
        <v>544</v>
      </c>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row>
    <row r="10" spans="1:52" x14ac:dyDescent="0.25">
      <c r="A10" s="1"/>
      <c r="B10" s="1"/>
      <c r="C10" s="1"/>
      <c r="D10" s="1"/>
      <c r="E10" s="1"/>
      <c r="F10" s="1"/>
      <c r="G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row>
    <row r="11" spans="1:52" x14ac:dyDescent="0.25">
      <c r="A11" s="1"/>
      <c r="B11" s="1"/>
      <c r="C11" s="1"/>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row>
    <row r="12" spans="1:52" x14ac:dyDescent="0.25">
      <c r="A12" s="1"/>
      <c r="B12" s="1"/>
      <c r="C12" s="1"/>
      <c r="D12" s="1"/>
      <c r="E12" s="1"/>
      <c r="F12" s="1"/>
      <c r="G12" s="1"/>
      <c r="H12" s="1"/>
      <c r="I12" s="1"/>
      <c r="J12" s="1"/>
      <c r="K12" s="1"/>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row>
    <row r="13" spans="1:52" x14ac:dyDescent="0.25">
      <c r="A13" s="1"/>
      <c r="B13" s="1"/>
      <c r="C13" s="1"/>
      <c r="D13" s="1"/>
      <c r="E13" s="1"/>
      <c r="F13" s="1"/>
      <c r="G13" s="1"/>
      <c r="H13" s="1"/>
      <c r="I13" s="1"/>
      <c r="J13" s="1"/>
      <c r="K13" s="1"/>
      <c r="L13" s="1"/>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c r="AZ13" s="1"/>
    </row>
    <row r="14" spans="1:52" x14ac:dyDescent="0.25">
      <c r="A14" s="1"/>
      <c r="B14" s="1"/>
      <c r="C14" s="1"/>
      <c r="D14" s="1"/>
      <c r="E14" s="1"/>
      <c r="F14" s="1"/>
      <c r="G14" s="1"/>
      <c r="H14" s="1"/>
      <c r="I14" s="1"/>
      <c r="J14" s="1"/>
      <c r="K14" s="1"/>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row>
    <row r="15" spans="1:52" x14ac:dyDescent="0.25">
      <c r="A15" s="1"/>
      <c r="B15" s="1" t="s">
        <v>11</v>
      </c>
      <c r="C15" s="1"/>
      <c r="D15" s="1"/>
      <c r="E15" s="1"/>
      <c r="F15" s="1"/>
      <c r="G15" s="1"/>
      <c r="H15" s="1"/>
      <c r="I15" s="1"/>
      <c r="J15" s="1"/>
      <c r="K15" s="1"/>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row>
    <row r="16" spans="1:52" x14ac:dyDescent="0.25">
      <c r="A16" s="1"/>
      <c r="B16" s="10" t="str">
        <f>HYPERLINK("https://github.com/edwardoughton/ascend")</f>
        <v>https://github.com/edwardoughton/ascend</v>
      </c>
      <c r="C16" s="1"/>
      <c r="D16" s="1"/>
      <c r="E16" s="1"/>
      <c r="F16" s="1"/>
      <c r="G16" s="1"/>
      <c r="H16" s="1"/>
      <c r="I16" s="1"/>
      <c r="J16" s="1"/>
      <c r="K16" s="1"/>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row>
    <row r="17" spans="1:52" x14ac:dyDescent="0.25">
      <c r="A17" s="1"/>
      <c r="B17" s="10"/>
      <c r="C17" s="1"/>
      <c r="D17" s="1"/>
      <c r="E17" s="1"/>
      <c r="F17" s="1"/>
      <c r="G17" s="1"/>
      <c r="H17" s="1"/>
      <c r="I17" s="1"/>
      <c r="J17" s="1"/>
      <c r="K17" s="1"/>
      <c r="L17" s="1"/>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c r="AZ17" s="1"/>
    </row>
    <row r="18" spans="1:52" ht="18" x14ac:dyDescent="0.35">
      <c r="A18" s="1"/>
      <c r="B18" s="349" t="s">
        <v>483</v>
      </c>
      <c r="C18" s="1"/>
      <c r="D18" s="1"/>
      <c r="E18" s="1"/>
      <c r="F18" s="1"/>
      <c r="G18" s="1"/>
      <c r="H18" s="1"/>
      <c r="I18" s="1"/>
      <c r="J18" s="1"/>
      <c r="K18" s="1"/>
      <c r="L18" s="1"/>
      <c r="M18" s="1"/>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c r="AZ18" s="1"/>
    </row>
    <row r="19" spans="1:52" x14ac:dyDescent="0.25">
      <c r="A19" s="1"/>
      <c r="B19" s="1"/>
      <c r="C19" s="1"/>
      <c r="D19" s="1"/>
      <c r="E19" s="1"/>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row>
    <row r="20" spans="1:52" x14ac:dyDescent="0.25">
      <c r="A20" s="1"/>
      <c r="B20" s="3" t="s">
        <v>0</v>
      </c>
      <c r="C20" s="1"/>
      <c r="D20" s="1"/>
      <c r="E20" s="1"/>
      <c r="F20" s="1"/>
      <c r="G20" s="1"/>
      <c r="H20" s="1"/>
      <c r="I20" s="1"/>
      <c r="J20" s="1"/>
      <c r="K20" s="1"/>
      <c r="L20" s="1"/>
      <c r="M20" s="1"/>
      <c r="N20" s="1"/>
      <c r="O20" s="1"/>
      <c r="P20" s="1"/>
      <c r="Q20" s="1"/>
      <c r="R20" s="1"/>
      <c r="S20" s="1"/>
      <c r="T20" s="1"/>
      <c r="U20" s="1"/>
      <c r="V20" s="1"/>
      <c r="W20" s="1"/>
      <c r="X20" s="1"/>
      <c r="Y20" s="1"/>
      <c r="Z20" s="1"/>
      <c r="AA20" s="1"/>
      <c r="AB20" s="1"/>
      <c r="AC20" s="1"/>
      <c r="AD20" s="1"/>
      <c r="AE20" s="1"/>
      <c r="AF20" s="1"/>
      <c r="AG20" s="1"/>
      <c r="AH20" s="1"/>
      <c r="AI20" s="1"/>
      <c r="AJ20" s="1"/>
      <c r="AK20" s="1"/>
      <c r="AL20" s="1"/>
      <c r="AM20" s="1"/>
      <c r="AN20" s="1"/>
      <c r="AO20" s="1"/>
      <c r="AP20" s="1"/>
      <c r="AQ20" s="1"/>
      <c r="AR20" s="1"/>
      <c r="AS20" s="1"/>
      <c r="AT20" s="1"/>
      <c r="AU20" s="1"/>
      <c r="AV20" s="1"/>
      <c r="AW20" s="1"/>
      <c r="AX20" s="1"/>
      <c r="AY20" s="1"/>
      <c r="AZ20" s="1"/>
    </row>
    <row r="21" spans="1:52" x14ac:dyDescent="0.25">
      <c r="A21" s="1"/>
      <c r="B21" s="1" t="s">
        <v>517</v>
      </c>
      <c r="C21" s="1"/>
      <c r="D21" s="1"/>
      <c r="E21" s="1"/>
      <c r="F21" s="1"/>
      <c r="G21" s="1"/>
      <c r="H21" s="1"/>
      <c r="I21" s="1"/>
      <c r="J21" s="1"/>
      <c r="K21" s="1"/>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c r="AZ21" s="1"/>
    </row>
    <row r="22" spans="1:52" x14ac:dyDescent="0.25">
      <c r="A22" s="1"/>
      <c r="B22" s="4" t="s">
        <v>501</v>
      </c>
      <c r="C22" s="1"/>
      <c r="D22" s="1"/>
      <c r="E22" s="1"/>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row>
    <row r="23" spans="1:52" x14ac:dyDescent="0.25">
      <c r="A23" s="1"/>
      <c r="B23" s="4" t="s">
        <v>484</v>
      </c>
      <c r="C23" s="1"/>
      <c r="D23" s="1"/>
      <c r="E23" s="1"/>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row>
    <row r="24" spans="1:52" x14ac:dyDescent="0.25">
      <c r="A24" s="1"/>
      <c r="B24" s="4" t="s">
        <v>485</v>
      </c>
      <c r="C24" s="1"/>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row>
    <row r="25" spans="1:52" x14ac:dyDescent="0.25">
      <c r="A25" s="1"/>
      <c r="B25" s="4" t="s">
        <v>488</v>
      </c>
      <c r="C25" s="1"/>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row>
    <row r="26" spans="1:52" x14ac:dyDescent="0.25">
      <c r="A26" s="1"/>
      <c r="B26" s="4"/>
      <c r="C26" s="1"/>
      <c r="D26" s="1"/>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row>
    <row r="27" spans="1:52" x14ac:dyDescent="0.25">
      <c r="A27" s="1"/>
      <c r="B27" s="3" t="s">
        <v>13</v>
      </c>
      <c r="C27" s="1"/>
      <c r="D27" s="1"/>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row>
    <row r="28" spans="1:52" x14ac:dyDescent="0.25">
      <c r="A28" s="1"/>
      <c r="B28" s="1" t="s">
        <v>480</v>
      </c>
      <c r="C28" s="1"/>
      <c r="D28" s="1"/>
      <c r="E28" s="1"/>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row>
    <row r="29" spans="1:52" x14ac:dyDescent="0.25">
      <c r="A29" s="1"/>
      <c r="B29" s="1" t="s">
        <v>481</v>
      </c>
      <c r="C29" s="1"/>
      <c r="D29" s="1"/>
      <c r="E29" s="1"/>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
    </row>
    <row r="30" spans="1:52" x14ac:dyDescent="0.25">
      <c r="A30" s="1"/>
      <c r="B30" s="1" t="s">
        <v>15</v>
      </c>
      <c r="C30" s="1"/>
      <c r="D30" s="1"/>
      <c r="E30" s="1"/>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c r="AZ30" s="1"/>
    </row>
    <row r="31" spans="1:52" x14ac:dyDescent="0.25">
      <c r="A31" s="1"/>
      <c r="B31" s="4"/>
      <c r="C31" s="1"/>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row>
    <row r="32" spans="1:52" x14ac:dyDescent="0.25">
      <c r="A32" s="1"/>
      <c r="B32" s="3" t="s">
        <v>1</v>
      </c>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c r="AZ32" s="1"/>
    </row>
    <row r="33" spans="1:52" x14ac:dyDescent="0.25">
      <c r="A33" s="1"/>
      <c r="B33" s="4" t="s">
        <v>486</v>
      </c>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row>
    <row r="34" spans="1:52" x14ac:dyDescent="0.25">
      <c r="A34" s="1"/>
      <c r="B34" s="4" t="s">
        <v>482</v>
      </c>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row>
    <row r="35" spans="1:52" x14ac:dyDescent="0.25">
      <c r="A35" s="1"/>
      <c r="B35" s="1"/>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row>
    <row r="36" spans="1:52" x14ac:dyDescent="0.25">
      <c r="A36" s="1"/>
      <c r="B36" s="3" t="s">
        <v>2</v>
      </c>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row>
    <row r="37" spans="1:52" x14ac:dyDescent="0.25">
      <c r="A37" s="1"/>
      <c r="B37" s="1" t="s">
        <v>487</v>
      </c>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row>
    <row r="38" spans="1:52" x14ac:dyDescent="0.25">
      <c r="A38" s="1"/>
      <c r="B38" s="1"/>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row>
    <row r="39" spans="1:52" x14ac:dyDescent="0.25">
      <c r="A39" s="1"/>
      <c r="B39" s="1"/>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c r="AZ39" s="1"/>
    </row>
    <row r="40" spans="1:52" x14ac:dyDescent="0.25">
      <c r="A40" s="1"/>
      <c r="B40" s="1"/>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
    </row>
    <row r="41" spans="1:52" x14ac:dyDescent="0.25">
      <c r="A41" s="1"/>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1"/>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1"/>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1"/>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row>
    <row r="47" spans="1:52" x14ac:dyDescent="0.25">
      <c r="A47" s="1"/>
      <c r="B47" s="1"/>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c r="AZ47" s="1"/>
    </row>
    <row r="48" spans="1:52" x14ac:dyDescent="0.25">
      <c r="A48" s="1"/>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row>
    <row r="49" spans="1:52" x14ac:dyDescent="0.25">
      <c r="A49" s="1"/>
      <c r="B49" s="1"/>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c r="AZ49" s="1"/>
    </row>
    <row r="50" spans="1:52" x14ac:dyDescent="0.25">
      <c r="A50" s="1"/>
      <c r="B50" s="1"/>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row>
    <row r="51" spans="1:52" x14ac:dyDescent="0.25">
      <c r="A51" s="1"/>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row>
    <row r="52" spans="1:52" x14ac:dyDescent="0.25">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row>
    <row r="53" spans="1:52" x14ac:dyDescent="0.25">
      <c r="A53" s="1"/>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row>
    <row r="54" spans="1:52" x14ac:dyDescent="0.25">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row>
    <row r="55" spans="1:52" x14ac:dyDescent="0.25">
      <c r="A55" s="1"/>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row>
    <row r="56" spans="1:52" x14ac:dyDescent="0.25">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row>
    <row r="57" spans="1:52" x14ac:dyDescent="0.25">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row>
    <row r="58" spans="1:52" x14ac:dyDescent="0.25">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row>
    <row r="59" spans="1:52" x14ac:dyDescent="0.25">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row>
    <row r="60" spans="1:52" x14ac:dyDescent="0.25">
      <c r="A60" s="1"/>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row>
    <row r="61" spans="1:52" x14ac:dyDescent="0.25">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row>
    <row r="62" spans="1:52" x14ac:dyDescent="0.25">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row>
    <row r="63" spans="1:52" x14ac:dyDescent="0.25">
      <c r="A63" s="1"/>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row>
    <row r="64" spans="1:52" x14ac:dyDescent="0.25">
      <c r="A64" s="1"/>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row>
    <row r="65" spans="1:52" x14ac:dyDescent="0.25">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row>
    <row r="66" spans="1:52" x14ac:dyDescent="0.25">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row>
    <row r="67" spans="1:52" x14ac:dyDescent="0.25">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row>
    <row r="68" spans="1:52" x14ac:dyDescent="0.25">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row>
    <row r="69" spans="1:52" x14ac:dyDescent="0.25">
      <c r="A69" s="1"/>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row>
    <row r="70" spans="1:52" x14ac:dyDescent="0.25">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row>
    <row r="71" spans="1:52" x14ac:dyDescent="0.25">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row>
    <row r="72" spans="1:52" x14ac:dyDescent="0.25">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row>
    <row r="73" spans="1:52" x14ac:dyDescent="0.25">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row>
    <row r="74" spans="1:52" x14ac:dyDescent="0.25">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row>
    <row r="75" spans="1:52" x14ac:dyDescent="0.25">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row>
    <row r="76" spans="1:52" x14ac:dyDescent="0.25">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row>
    <row r="77" spans="1:52" x14ac:dyDescent="0.25">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row>
    <row r="78" spans="1:52" x14ac:dyDescent="0.25">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row>
    <row r="79" spans="1:52" x14ac:dyDescent="0.25">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row>
    <row r="80" spans="1:52" x14ac:dyDescent="0.25">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row>
    <row r="81" spans="1:52" x14ac:dyDescent="0.25">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row>
    <row r="82" spans="1:52" x14ac:dyDescent="0.25">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row>
    <row r="83" spans="1:52" x14ac:dyDescent="0.25">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row>
    <row r="84" spans="1:52" x14ac:dyDescent="0.25">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row>
    <row r="85" spans="1:52" x14ac:dyDescent="0.25">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row>
    <row r="86" spans="1:52" x14ac:dyDescent="0.25">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row>
    <row r="87" spans="1:52" x14ac:dyDescent="0.25">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row>
    <row r="88" spans="1:52" x14ac:dyDescent="0.25">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row>
    <row r="89" spans="1:52" x14ac:dyDescent="0.25">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row>
    <row r="90" spans="1:52" x14ac:dyDescent="0.25">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row>
    <row r="91" spans="1:52" x14ac:dyDescent="0.25">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row>
    <row r="92" spans="1:52" x14ac:dyDescent="0.25">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row>
    <row r="93" spans="1:52" x14ac:dyDescent="0.25">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row>
    <row r="94" spans="1:52" x14ac:dyDescent="0.25">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row>
    <row r="95" spans="1:52" x14ac:dyDescent="0.25">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row>
    <row r="96" spans="1:52" x14ac:dyDescent="0.25">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row>
    <row r="97" spans="1:52" x14ac:dyDescent="0.25">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row>
    <row r="98" spans="1:52" x14ac:dyDescent="0.25">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row>
    <row r="99" spans="1:52" x14ac:dyDescent="0.25">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row>
    <row r="100" spans="1:52" x14ac:dyDescent="0.2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row>
    <row r="101" spans="1:52" x14ac:dyDescent="0.25">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row>
    <row r="102" spans="1:52" x14ac:dyDescent="0.2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row>
    <row r="103" spans="1:52" x14ac:dyDescent="0.25">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row>
    <row r="104" spans="1:52" x14ac:dyDescent="0.2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row>
    <row r="105" spans="1:52" x14ac:dyDescent="0.2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row>
    <row r="106" spans="1:52" x14ac:dyDescent="0.25">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row>
    <row r="107" spans="1:52" x14ac:dyDescent="0.25">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row>
    <row r="108" spans="1:52" x14ac:dyDescent="0.25">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row>
    <row r="109" spans="1:52" x14ac:dyDescent="0.25">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row>
    <row r="110" spans="1:52" x14ac:dyDescent="0.25">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row>
    <row r="111" spans="1:52" x14ac:dyDescent="0.25">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row>
    <row r="112" spans="1:52" x14ac:dyDescent="0.25">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row>
    <row r="113" spans="1:52" x14ac:dyDescent="0.25">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row>
    <row r="114" spans="1:52" x14ac:dyDescent="0.25">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row>
    <row r="115" spans="1:52" x14ac:dyDescent="0.2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row>
    <row r="116" spans="1:52" x14ac:dyDescent="0.25">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row>
    <row r="117" spans="1:52" x14ac:dyDescent="0.25">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row>
    <row r="118" spans="1:52" x14ac:dyDescent="0.25">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row>
    <row r="119" spans="1:52" x14ac:dyDescent="0.25">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row>
    <row r="120" spans="1:52" x14ac:dyDescent="0.25">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row>
    <row r="121" spans="1:52" x14ac:dyDescent="0.25">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row>
    <row r="122" spans="1:52" x14ac:dyDescent="0.25">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row>
    <row r="123" spans="1:52" x14ac:dyDescent="0.25">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row>
    <row r="124" spans="1:52" x14ac:dyDescent="0.25">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row>
    <row r="125" spans="1:52" x14ac:dyDescent="0.2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row>
    <row r="126" spans="1:52" x14ac:dyDescent="0.25">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row>
    <row r="127" spans="1:52" x14ac:dyDescent="0.25">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row>
    <row r="128" spans="1:52" x14ac:dyDescent="0.25">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row>
    <row r="129" spans="1:52" x14ac:dyDescent="0.25">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row>
    <row r="130" spans="1:52" x14ac:dyDescent="0.25">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row>
    <row r="131" spans="1:52" x14ac:dyDescent="0.25">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row>
    <row r="132" spans="1:52" x14ac:dyDescent="0.25">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row>
    <row r="133" spans="1:52" x14ac:dyDescent="0.25">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row>
    <row r="134" spans="1:52" x14ac:dyDescent="0.25">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row>
    <row r="135" spans="1:52" x14ac:dyDescent="0.2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row>
    <row r="136" spans="1:52" x14ac:dyDescent="0.25">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row>
    <row r="137" spans="1:52" x14ac:dyDescent="0.25">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row>
    <row r="138" spans="1:52" x14ac:dyDescent="0.25">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row>
    <row r="139" spans="1:52" x14ac:dyDescent="0.25">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row>
    <row r="140" spans="1:52" x14ac:dyDescent="0.25">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row>
    <row r="141" spans="1:52" x14ac:dyDescent="0.25">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row>
    <row r="142" spans="1:52" x14ac:dyDescent="0.25">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row>
    <row r="143" spans="1:52" x14ac:dyDescent="0.2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row>
    <row r="144" spans="1:52" x14ac:dyDescent="0.2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row>
    <row r="145" spans="1:52" x14ac:dyDescent="0.2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row>
    <row r="146" spans="1:52" x14ac:dyDescent="0.2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row>
    <row r="147" spans="1:52" x14ac:dyDescent="0.2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row>
    <row r="148" spans="1:52" x14ac:dyDescent="0.2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row>
    <row r="149" spans="1:52" x14ac:dyDescent="0.2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row>
    <row r="150" spans="1:52" x14ac:dyDescent="0.2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row>
    <row r="151" spans="1:52" x14ac:dyDescent="0.2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row>
    <row r="152" spans="1:52" x14ac:dyDescent="0.2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row>
    <row r="153" spans="1:52" x14ac:dyDescent="0.2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row>
    <row r="154" spans="1:52" x14ac:dyDescent="0.2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row>
    <row r="155" spans="1:52" x14ac:dyDescent="0.2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row>
    <row r="156" spans="1:52" x14ac:dyDescent="0.2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row>
    <row r="157" spans="1:52" x14ac:dyDescent="0.2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row>
    <row r="158" spans="1:52" x14ac:dyDescent="0.2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row>
    <row r="159" spans="1:52" x14ac:dyDescent="0.2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row>
    <row r="160" spans="1:52" x14ac:dyDescent="0.2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row>
    <row r="161" spans="1:52" x14ac:dyDescent="0.2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row>
    <row r="162" spans="1:52" x14ac:dyDescent="0.2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row>
    <row r="163" spans="1:52" x14ac:dyDescent="0.2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row>
    <row r="164" spans="1:52" x14ac:dyDescent="0.2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row>
    <row r="165" spans="1:52" x14ac:dyDescent="0.2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row>
    <row r="166" spans="1:52" x14ac:dyDescent="0.2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row>
    <row r="167" spans="1:52" x14ac:dyDescent="0.2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row>
    <row r="168" spans="1:52" x14ac:dyDescent="0.2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row>
    <row r="169" spans="1:52" x14ac:dyDescent="0.2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row>
    <row r="170" spans="1:52" x14ac:dyDescent="0.2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row>
    <row r="171" spans="1:52" x14ac:dyDescent="0.2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row>
    <row r="172" spans="1:52" x14ac:dyDescent="0.2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row>
    <row r="173" spans="1:52" x14ac:dyDescent="0.2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row>
    <row r="174" spans="1:52" x14ac:dyDescent="0.2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row>
    <row r="175" spans="1:52" x14ac:dyDescent="0.2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row>
    <row r="176" spans="1:52" x14ac:dyDescent="0.2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row>
    <row r="177" spans="1:52" x14ac:dyDescent="0.2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row>
    <row r="178" spans="1:52" x14ac:dyDescent="0.2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row>
    <row r="179" spans="1:52" x14ac:dyDescent="0.2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row>
    <row r="180" spans="1:52" x14ac:dyDescent="0.2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row>
    <row r="181" spans="1:52" x14ac:dyDescent="0.2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row>
    <row r="182" spans="1:52" x14ac:dyDescent="0.2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row>
    <row r="183" spans="1:52" x14ac:dyDescent="0.2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row>
    <row r="184" spans="1:52" x14ac:dyDescent="0.2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row>
    <row r="185" spans="1:52" x14ac:dyDescent="0.2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row>
    <row r="186" spans="1:52" x14ac:dyDescent="0.2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row>
    <row r="187" spans="1:52" x14ac:dyDescent="0.2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row>
    <row r="188" spans="1:52" x14ac:dyDescent="0.2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row>
    <row r="189" spans="1:52" x14ac:dyDescent="0.2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row>
    <row r="190" spans="1:52" x14ac:dyDescent="0.2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row>
    <row r="191" spans="1:52" x14ac:dyDescent="0.2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row>
    <row r="192" spans="1:52" x14ac:dyDescent="0.2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row>
    <row r="193" spans="1:52" x14ac:dyDescent="0.2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row>
    <row r="194" spans="1:52" x14ac:dyDescent="0.2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row>
    <row r="195" spans="1:52" x14ac:dyDescent="0.2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row>
    <row r="196" spans="1:52" x14ac:dyDescent="0.2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row>
    <row r="197" spans="1:52" x14ac:dyDescent="0.2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row>
    <row r="198" spans="1:52" x14ac:dyDescent="0.2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row>
    <row r="199" spans="1:52" x14ac:dyDescent="0.2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row>
    <row r="200" spans="1:52" x14ac:dyDescent="0.2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row>
    <row r="201" spans="1:52" x14ac:dyDescent="0.2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row>
    <row r="202" spans="1:52" x14ac:dyDescent="0.2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row>
    <row r="203" spans="1:52" x14ac:dyDescent="0.2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row>
    <row r="204" spans="1:52" x14ac:dyDescent="0.2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row>
    <row r="205" spans="1:52" x14ac:dyDescent="0.2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row>
    <row r="206" spans="1:52" x14ac:dyDescent="0.2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row>
    <row r="207" spans="1:52" x14ac:dyDescent="0.2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row>
    <row r="208" spans="1:52" x14ac:dyDescent="0.2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row>
    <row r="209" spans="1:52" x14ac:dyDescent="0.2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row>
    <row r="210" spans="1:52" x14ac:dyDescent="0.2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row>
    <row r="211" spans="1:52" x14ac:dyDescent="0.2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row>
    <row r="212" spans="1:52" x14ac:dyDescent="0.2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row>
    <row r="213" spans="1:52" x14ac:dyDescent="0.2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row>
    <row r="214" spans="1:52" x14ac:dyDescent="0.2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row>
    <row r="215" spans="1:52" x14ac:dyDescent="0.2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row>
    <row r="216" spans="1:52" x14ac:dyDescent="0.2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row>
    <row r="217" spans="1:52" x14ac:dyDescent="0.2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row>
    <row r="218" spans="1:52" x14ac:dyDescent="0.2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row>
    <row r="219" spans="1:52" x14ac:dyDescent="0.2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row>
    <row r="220" spans="1:52" x14ac:dyDescent="0.2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row>
    <row r="221" spans="1:52" x14ac:dyDescent="0.2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row>
    <row r="222" spans="1:52" x14ac:dyDescent="0.2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row>
    <row r="223" spans="1:52" x14ac:dyDescent="0.2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row>
    <row r="224" spans="1:52" x14ac:dyDescent="0.2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row>
    <row r="225" spans="1:52" x14ac:dyDescent="0.2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row>
    <row r="226" spans="1:52" x14ac:dyDescent="0.2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row>
    <row r="227" spans="1:52" x14ac:dyDescent="0.2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row>
    <row r="228" spans="1:52" x14ac:dyDescent="0.2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row>
    <row r="229" spans="1:52" x14ac:dyDescent="0.2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row>
    <row r="230" spans="1:52" x14ac:dyDescent="0.2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row>
    <row r="231" spans="1:52" x14ac:dyDescent="0.2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row>
    <row r="232" spans="1:52" x14ac:dyDescent="0.2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row>
    <row r="233" spans="1:52" x14ac:dyDescent="0.2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row>
    <row r="234" spans="1:52" x14ac:dyDescent="0.2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row>
    <row r="235" spans="1:52" x14ac:dyDescent="0.2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row>
    <row r="236" spans="1:52" x14ac:dyDescent="0.2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row>
    <row r="237" spans="1:52" x14ac:dyDescent="0.2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row>
    <row r="238" spans="1:52" x14ac:dyDescent="0.2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row>
    <row r="239" spans="1:52" x14ac:dyDescent="0.2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row>
    <row r="240" spans="1:52" x14ac:dyDescent="0.2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row>
    <row r="241" spans="1:52" x14ac:dyDescent="0.2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row>
    <row r="242" spans="1:52" x14ac:dyDescent="0.2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row>
    <row r="243" spans="1:52" x14ac:dyDescent="0.2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row>
    <row r="244" spans="1:52" x14ac:dyDescent="0.2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row>
    <row r="245" spans="1:52" x14ac:dyDescent="0.2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row>
    <row r="246" spans="1:52" x14ac:dyDescent="0.2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row>
    <row r="247" spans="1:52" x14ac:dyDescent="0.2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row>
    <row r="248" spans="1:52" x14ac:dyDescent="0.2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row>
    <row r="249" spans="1:52" x14ac:dyDescent="0.2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row>
    <row r="250" spans="1:52" x14ac:dyDescent="0.2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row>
    <row r="251" spans="1:52" x14ac:dyDescent="0.2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row>
    <row r="252" spans="1:52" x14ac:dyDescent="0.2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row>
    <row r="253" spans="1:52" x14ac:dyDescent="0.2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row>
    <row r="254" spans="1:52" x14ac:dyDescent="0.2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row>
    <row r="255" spans="1:52" x14ac:dyDescent="0.2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row>
    <row r="256" spans="1:52" x14ac:dyDescent="0.2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row>
    <row r="257" spans="1:52" x14ac:dyDescent="0.2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row>
    <row r="258" spans="1:52" x14ac:dyDescent="0.2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row>
    <row r="259" spans="1:52" x14ac:dyDescent="0.2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row>
    <row r="260" spans="1:52" x14ac:dyDescent="0.2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row>
    <row r="261" spans="1:52" x14ac:dyDescent="0.2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row>
    <row r="262" spans="1:52" x14ac:dyDescent="0.2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row>
    <row r="263" spans="1:52" x14ac:dyDescent="0.2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row>
    <row r="264" spans="1:52" x14ac:dyDescent="0.2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row>
    <row r="265" spans="1:52" x14ac:dyDescent="0.2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row>
    <row r="266" spans="1:52" x14ac:dyDescent="0.2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row>
    <row r="267" spans="1:52" x14ac:dyDescent="0.2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row>
    <row r="268" spans="1:52" x14ac:dyDescent="0.2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c r="AZ268" s="1"/>
    </row>
    <row r="269" spans="1:52" x14ac:dyDescent="0.2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c r="AZ269" s="1"/>
    </row>
    <row r="270" spans="1:52" x14ac:dyDescent="0.2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c r="AZ270" s="1"/>
    </row>
    <row r="271" spans="1:52" x14ac:dyDescent="0.2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c r="AZ271" s="1"/>
    </row>
    <row r="272" spans="1:52" x14ac:dyDescent="0.2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c r="AZ272" s="1"/>
    </row>
    <row r="273" spans="1:52" x14ac:dyDescent="0.2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c r="AZ273" s="1"/>
    </row>
    <row r="274" spans="1:52" x14ac:dyDescent="0.2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c r="AZ274" s="1"/>
    </row>
    <row r="275" spans="1:52" x14ac:dyDescent="0.2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c r="AZ275" s="1"/>
    </row>
    <row r="276" spans="1:52" x14ac:dyDescent="0.2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c r="AZ276" s="1"/>
    </row>
    <row r="277" spans="1:52" x14ac:dyDescent="0.2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c r="AZ277" s="1"/>
    </row>
    <row r="278" spans="1:52" x14ac:dyDescent="0.2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c r="AZ278" s="1"/>
    </row>
    <row r="279" spans="1:52" x14ac:dyDescent="0.2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c r="AZ279" s="1"/>
    </row>
    <row r="280" spans="1:52" x14ac:dyDescent="0.2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c r="AZ280" s="1"/>
    </row>
    <row r="281" spans="1:52" x14ac:dyDescent="0.2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c r="AZ281" s="1"/>
    </row>
    <row r="282" spans="1:52" x14ac:dyDescent="0.2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c r="AZ282" s="1"/>
    </row>
    <row r="283" spans="1:52" x14ac:dyDescent="0.2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c r="AZ283" s="1"/>
    </row>
    <row r="284" spans="1:52" x14ac:dyDescent="0.2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c r="AZ284" s="1"/>
    </row>
    <row r="285" spans="1:52" x14ac:dyDescent="0.2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c r="AZ285" s="1"/>
    </row>
    <row r="286" spans="1:52" x14ac:dyDescent="0.2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c r="AZ286" s="1"/>
    </row>
    <row r="287" spans="1:52" x14ac:dyDescent="0.2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c r="AZ287" s="1"/>
    </row>
    <row r="288" spans="1:52" x14ac:dyDescent="0.2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c r="AZ288" s="1"/>
    </row>
    <row r="289" spans="1:52" x14ac:dyDescent="0.2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c r="AZ289" s="1"/>
    </row>
    <row r="290" spans="1:52" x14ac:dyDescent="0.2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c r="AZ290" s="1"/>
    </row>
    <row r="291" spans="1:52" x14ac:dyDescent="0.2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c r="AZ291" s="1"/>
    </row>
    <row r="292" spans="1:52" x14ac:dyDescent="0.2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c r="AZ292" s="1"/>
    </row>
    <row r="293" spans="1:52" x14ac:dyDescent="0.2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c r="AZ293" s="1"/>
    </row>
    <row r="294" spans="1:52" x14ac:dyDescent="0.2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c r="AZ294" s="1"/>
    </row>
    <row r="295" spans="1:52" x14ac:dyDescent="0.2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c r="AZ295" s="1"/>
    </row>
    <row r="296" spans="1:52" x14ac:dyDescent="0.2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c r="AZ296" s="1"/>
    </row>
    <row r="297" spans="1:52" x14ac:dyDescent="0.2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c r="AZ297" s="1"/>
    </row>
    <row r="298" spans="1:52" x14ac:dyDescent="0.2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c r="AZ298" s="1"/>
    </row>
    <row r="299" spans="1:52" x14ac:dyDescent="0.2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c r="AZ299" s="1"/>
    </row>
    <row r="300" spans="1:52" x14ac:dyDescent="0.2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c r="AZ300" s="1"/>
    </row>
    <row r="301" spans="1:52" x14ac:dyDescent="0.2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c r="AZ301" s="1"/>
    </row>
    <row r="302" spans="1:52" x14ac:dyDescent="0.2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c r="AZ302" s="1"/>
    </row>
    <row r="303" spans="1:52" x14ac:dyDescent="0.2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row>
    <row r="304" spans="1:52" x14ac:dyDescent="0.2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c r="AZ304" s="1"/>
    </row>
    <row r="305" spans="1:52" x14ac:dyDescent="0.2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c r="AZ305" s="1"/>
    </row>
    <row r="306" spans="1:52" x14ac:dyDescent="0.2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c r="AZ306" s="1"/>
    </row>
    <row r="307" spans="1:52" x14ac:dyDescent="0.2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row>
    <row r="308" spans="1:52" x14ac:dyDescent="0.2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c r="AZ308" s="1"/>
    </row>
    <row r="309" spans="1:52" x14ac:dyDescent="0.2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c r="AZ309" s="1"/>
    </row>
    <row r="310" spans="1:52" x14ac:dyDescent="0.2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c r="AZ310" s="1"/>
    </row>
    <row r="311" spans="1:52" x14ac:dyDescent="0.2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row>
    <row r="312" spans="1:52" x14ac:dyDescent="0.2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row>
    <row r="313" spans="1:52" x14ac:dyDescent="0.2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row>
    <row r="314" spans="1:52" x14ac:dyDescent="0.2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row>
    <row r="315" spans="1:52" x14ac:dyDescent="0.2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row>
    <row r="316" spans="1:52" x14ac:dyDescent="0.2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row>
    <row r="317" spans="1:52" x14ac:dyDescent="0.2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row>
    <row r="318" spans="1:52" x14ac:dyDescent="0.2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row>
    <row r="319" spans="1:52" x14ac:dyDescent="0.2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row>
    <row r="320" spans="1:52" x14ac:dyDescent="0.2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row>
    <row r="321" spans="1:52" x14ac:dyDescent="0.2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row>
    <row r="322" spans="1:52" x14ac:dyDescent="0.2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c r="AZ322" s="1"/>
    </row>
    <row r="323" spans="1:52" x14ac:dyDescent="0.2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c r="AZ323" s="1"/>
    </row>
    <row r="324" spans="1:52" x14ac:dyDescent="0.2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row>
    <row r="325" spans="1:52" x14ac:dyDescent="0.2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row>
    <row r="326" spans="1:52" x14ac:dyDescent="0.2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c r="AZ326" s="1"/>
    </row>
    <row r="327" spans="1:52" x14ac:dyDescent="0.2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row>
    <row r="328" spans="1:52" x14ac:dyDescent="0.2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row>
    <row r="329" spans="1:52" x14ac:dyDescent="0.2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c r="AZ329" s="1"/>
    </row>
    <row r="330" spans="1:52" x14ac:dyDescent="0.2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c r="AZ330" s="1"/>
    </row>
    <row r="331" spans="1:52" x14ac:dyDescent="0.2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c r="AZ331" s="1"/>
    </row>
    <row r="332" spans="1:52" x14ac:dyDescent="0.2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c r="AZ332" s="1"/>
    </row>
    <row r="333" spans="1:52" x14ac:dyDescent="0.2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c r="AZ333" s="1"/>
    </row>
    <row r="334" spans="1:52" x14ac:dyDescent="0.2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row>
    <row r="335" spans="1:52" x14ac:dyDescent="0.2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c r="AZ335" s="1"/>
    </row>
    <row r="336" spans="1:52" x14ac:dyDescent="0.2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row>
    <row r="337" spans="1:52" x14ac:dyDescent="0.2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row>
    <row r="338" spans="1:52" x14ac:dyDescent="0.2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row>
    <row r="339" spans="1:52" x14ac:dyDescent="0.2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row>
    <row r="340" spans="1:52" x14ac:dyDescent="0.2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row>
    <row r="341" spans="1:52" x14ac:dyDescent="0.2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row>
    <row r="342" spans="1:52" x14ac:dyDescent="0.2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row>
    <row r="343" spans="1:52" x14ac:dyDescent="0.2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row>
    <row r="344" spans="1:52" x14ac:dyDescent="0.2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c r="AZ344" s="1"/>
    </row>
    <row r="345" spans="1:52" x14ac:dyDescent="0.2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row>
    <row r="346" spans="1:52" x14ac:dyDescent="0.2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row>
    <row r="347" spans="1:52" x14ac:dyDescent="0.2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c r="AZ347" s="1"/>
    </row>
    <row r="348" spans="1:52" x14ac:dyDescent="0.2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c r="AZ348" s="1"/>
    </row>
    <row r="349" spans="1:52" x14ac:dyDescent="0.2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c r="AZ349" s="1"/>
    </row>
    <row r="350" spans="1:52" x14ac:dyDescent="0.2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c r="AZ350" s="1"/>
    </row>
    <row r="351" spans="1:52" x14ac:dyDescent="0.2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c r="AZ351" s="1"/>
    </row>
    <row r="352" spans="1:52" x14ac:dyDescent="0.2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c r="AZ352" s="1"/>
    </row>
    <row r="353" spans="1:52" x14ac:dyDescent="0.2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c r="AZ353" s="1"/>
    </row>
    <row r="354" spans="1:52" x14ac:dyDescent="0.2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c r="AZ354" s="1"/>
    </row>
    <row r="355" spans="1:52" x14ac:dyDescent="0.2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c r="AZ355" s="1"/>
    </row>
    <row r="356" spans="1:52" x14ac:dyDescent="0.2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c r="AZ356" s="1"/>
    </row>
    <row r="357" spans="1:52" x14ac:dyDescent="0.2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c r="AZ357" s="1"/>
    </row>
    <row r="358" spans="1:52" x14ac:dyDescent="0.2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c r="AZ358" s="1"/>
    </row>
    <row r="359" spans="1:52" x14ac:dyDescent="0.2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c r="AZ359" s="1"/>
    </row>
    <row r="360" spans="1:52" x14ac:dyDescent="0.2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c r="AZ360" s="1"/>
    </row>
    <row r="361" spans="1:52" x14ac:dyDescent="0.2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c r="AZ361" s="1"/>
    </row>
    <row r="362" spans="1:52" x14ac:dyDescent="0.2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c r="AZ362" s="1"/>
    </row>
    <row r="363" spans="1:52" x14ac:dyDescent="0.2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c r="AZ363" s="1"/>
    </row>
    <row r="364" spans="1:52" x14ac:dyDescent="0.2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c r="AZ364" s="1"/>
    </row>
    <row r="365" spans="1:52" x14ac:dyDescent="0.2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c r="AZ365" s="1"/>
    </row>
    <row r="366" spans="1:52" x14ac:dyDescent="0.2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c r="AZ366" s="1"/>
    </row>
    <row r="367" spans="1:52" x14ac:dyDescent="0.2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c r="AZ367" s="1"/>
    </row>
    <row r="368" spans="1:52" x14ac:dyDescent="0.2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c r="AZ368" s="1"/>
    </row>
    <row r="369" spans="1:52" x14ac:dyDescent="0.2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c r="AZ369" s="1"/>
    </row>
    <row r="370" spans="1:52" x14ac:dyDescent="0.2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c r="AZ370" s="1"/>
    </row>
    <row r="371" spans="1:52" x14ac:dyDescent="0.2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c r="AZ371" s="1"/>
    </row>
    <row r="372" spans="1:52" x14ac:dyDescent="0.2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c r="AZ372" s="1"/>
    </row>
    <row r="373" spans="1:52" x14ac:dyDescent="0.2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c r="AZ373" s="1"/>
    </row>
    <row r="374" spans="1:52" x14ac:dyDescent="0.2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c r="AZ374" s="1"/>
    </row>
    <row r="375" spans="1:52" x14ac:dyDescent="0.2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c r="AZ375" s="1"/>
    </row>
    <row r="376" spans="1:52" x14ac:dyDescent="0.2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c r="AZ376" s="1"/>
    </row>
    <row r="377" spans="1:52" x14ac:dyDescent="0.2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c r="AZ377" s="1"/>
    </row>
    <row r="378" spans="1:52" x14ac:dyDescent="0.2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c r="AZ378" s="1"/>
    </row>
    <row r="379" spans="1:52" x14ac:dyDescent="0.2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c r="AZ379" s="1"/>
    </row>
    <row r="380" spans="1:52" x14ac:dyDescent="0.2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row>
    <row r="381" spans="1:52" x14ac:dyDescent="0.2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c r="AZ381" s="1"/>
    </row>
    <row r="382" spans="1:52" x14ac:dyDescent="0.2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row>
    <row r="383" spans="1:52" x14ac:dyDescent="0.2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c r="AZ383" s="1"/>
    </row>
    <row r="384" spans="1:52" x14ac:dyDescent="0.2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c r="AZ384" s="1"/>
    </row>
    <row r="385" spans="1:52" x14ac:dyDescent="0.2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c r="AZ385" s="1"/>
    </row>
    <row r="386" spans="1:52" x14ac:dyDescent="0.2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c r="AZ386" s="1"/>
    </row>
    <row r="387" spans="1:52" x14ac:dyDescent="0.2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c r="AZ387" s="1"/>
    </row>
    <row r="388" spans="1:52" x14ac:dyDescent="0.2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c r="AZ388" s="1"/>
    </row>
    <row r="389" spans="1:52" x14ac:dyDescent="0.2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c r="AZ389" s="1"/>
    </row>
    <row r="390" spans="1:52" x14ac:dyDescent="0.2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c r="AZ390" s="1"/>
    </row>
    <row r="391" spans="1:52" x14ac:dyDescent="0.2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c r="AZ391" s="1"/>
    </row>
    <row r="392" spans="1:52" x14ac:dyDescent="0.2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row>
    <row r="393" spans="1:52" x14ac:dyDescent="0.2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c r="AZ393" s="1"/>
    </row>
    <row r="394" spans="1:52" x14ac:dyDescent="0.2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c r="AZ394" s="1"/>
    </row>
    <row r="395" spans="1:52" x14ac:dyDescent="0.2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c r="AZ395" s="1"/>
    </row>
    <row r="396" spans="1:52" x14ac:dyDescent="0.2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c r="AZ396" s="1"/>
    </row>
    <row r="397" spans="1:52" x14ac:dyDescent="0.2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c r="AZ397" s="1"/>
    </row>
    <row r="398" spans="1:52" x14ac:dyDescent="0.2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c r="AZ398" s="1"/>
    </row>
    <row r="399" spans="1:52" x14ac:dyDescent="0.2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c r="AZ399" s="1"/>
    </row>
    <row r="400" spans="1:52" x14ac:dyDescent="0.2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c r="AZ400" s="1"/>
    </row>
    <row r="401" spans="1:52" x14ac:dyDescent="0.2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c r="AZ401" s="1"/>
    </row>
    <row r="402" spans="1:52" x14ac:dyDescent="0.2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c r="AZ402" s="1"/>
    </row>
    <row r="403" spans="1:52" x14ac:dyDescent="0.2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c r="AZ403" s="1"/>
    </row>
    <row r="404" spans="1:52" x14ac:dyDescent="0.2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c r="AZ404" s="1"/>
    </row>
    <row r="405" spans="1:52" x14ac:dyDescent="0.2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c r="AZ405" s="1"/>
    </row>
    <row r="406" spans="1:52" x14ac:dyDescent="0.2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c r="AZ406" s="1"/>
    </row>
    <row r="407" spans="1:52" x14ac:dyDescent="0.2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c r="AZ407" s="1"/>
    </row>
    <row r="408" spans="1:52" x14ac:dyDescent="0.2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c r="AZ408" s="1"/>
    </row>
    <row r="409" spans="1:52" x14ac:dyDescent="0.2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c r="AZ409" s="1"/>
    </row>
    <row r="410" spans="1:52" x14ac:dyDescent="0.2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c r="AZ410" s="1"/>
    </row>
    <row r="411" spans="1:52" x14ac:dyDescent="0.2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c r="AZ411" s="1"/>
    </row>
    <row r="412" spans="1:52" x14ac:dyDescent="0.2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c r="AZ412" s="1"/>
    </row>
    <row r="413" spans="1:52" x14ac:dyDescent="0.2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c r="AZ413" s="1"/>
    </row>
    <row r="414" spans="1:52" x14ac:dyDescent="0.2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c r="AZ414" s="1"/>
    </row>
    <row r="415" spans="1:52" x14ac:dyDescent="0.2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c r="AZ415" s="1"/>
    </row>
    <row r="416" spans="1:52" x14ac:dyDescent="0.2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c r="AZ416" s="1"/>
    </row>
    <row r="417" spans="1:52" x14ac:dyDescent="0.2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c r="AZ417" s="1"/>
    </row>
    <row r="418" spans="1:52" x14ac:dyDescent="0.2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row>
    <row r="419" spans="1:52" x14ac:dyDescent="0.2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row>
    <row r="420" spans="1:52" x14ac:dyDescent="0.2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row>
    <row r="421" spans="1:52" x14ac:dyDescent="0.2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c r="AZ421" s="1"/>
    </row>
    <row r="422" spans="1:52" x14ac:dyDescent="0.2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c r="AZ422" s="1"/>
    </row>
    <row r="423" spans="1:52" x14ac:dyDescent="0.2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c r="AZ423" s="1"/>
    </row>
    <row r="424" spans="1:52" x14ac:dyDescent="0.2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c r="AZ424" s="1"/>
    </row>
    <row r="425" spans="1:52" x14ac:dyDescent="0.2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c r="AZ425" s="1"/>
    </row>
    <row r="426" spans="1:52" x14ac:dyDescent="0.2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c r="AZ426" s="1"/>
    </row>
    <row r="427" spans="1:52" x14ac:dyDescent="0.2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c r="AZ427" s="1"/>
    </row>
    <row r="428" spans="1:52" x14ac:dyDescent="0.2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c r="AZ428" s="1"/>
    </row>
    <row r="429" spans="1:52" x14ac:dyDescent="0.2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c r="AZ429" s="1"/>
    </row>
    <row r="430" spans="1:52" x14ac:dyDescent="0.2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c r="AZ430" s="1"/>
    </row>
    <row r="431" spans="1:52" x14ac:dyDescent="0.2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c r="AZ431" s="1"/>
    </row>
    <row r="432" spans="1:52" x14ac:dyDescent="0.2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c r="AZ432" s="1"/>
    </row>
    <row r="433" spans="1:52" x14ac:dyDescent="0.2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c r="AZ433" s="1"/>
    </row>
    <row r="434" spans="1:52" x14ac:dyDescent="0.2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c r="AZ434" s="1"/>
    </row>
    <row r="435" spans="1:52" x14ac:dyDescent="0.2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c r="AZ435" s="1"/>
    </row>
    <row r="436" spans="1:52" x14ac:dyDescent="0.2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c r="AZ436" s="1"/>
    </row>
    <row r="437" spans="1:52" x14ac:dyDescent="0.2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c r="AZ437" s="1"/>
    </row>
    <row r="438" spans="1:52" x14ac:dyDescent="0.2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c r="AZ438" s="1"/>
    </row>
    <row r="439" spans="1:52" x14ac:dyDescent="0.2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c r="AZ439" s="1"/>
    </row>
    <row r="440" spans="1:52" x14ac:dyDescent="0.2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c r="AZ440" s="1"/>
    </row>
    <row r="441" spans="1:52" x14ac:dyDescent="0.2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c r="AZ441" s="1"/>
    </row>
    <row r="442" spans="1:52" x14ac:dyDescent="0.2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c r="AZ442" s="1"/>
    </row>
    <row r="443" spans="1:52" x14ac:dyDescent="0.2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c r="AZ443" s="1"/>
    </row>
    <row r="444" spans="1:52" x14ac:dyDescent="0.2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c r="AZ444" s="1"/>
    </row>
    <row r="445" spans="1:52" x14ac:dyDescent="0.2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c r="AZ445" s="1"/>
    </row>
    <row r="446" spans="1:52" x14ac:dyDescent="0.2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c r="AZ446" s="1"/>
    </row>
    <row r="447" spans="1:52" x14ac:dyDescent="0.2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c r="AZ447" s="1"/>
    </row>
    <row r="448" spans="1:52" x14ac:dyDescent="0.2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c r="AZ448" s="1"/>
    </row>
    <row r="449" spans="1:52" x14ac:dyDescent="0.2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c r="AZ449" s="1"/>
    </row>
    <row r="450" spans="1:52" x14ac:dyDescent="0.2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c r="AZ450" s="1"/>
    </row>
    <row r="451" spans="1:52" x14ac:dyDescent="0.2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c r="AZ451" s="1"/>
    </row>
    <row r="452" spans="1:52" x14ac:dyDescent="0.2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c r="AZ452" s="1"/>
    </row>
    <row r="453" spans="1:52" x14ac:dyDescent="0.2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c r="AZ453" s="1"/>
    </row>
    <row r="454" spans="1:52" x14ac:dyDescent="0.2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c r="AZ454" s="1"/>
    </row>
    <row r="455" spans="1:52" x14ac:dyDescent="0.2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c r="AZ455" s="1"/>
    </row>
    <row r="456" spans="1:52" x14ac:dyDescent="0.2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c r="AZ456" s="1"/>
    </row>
    <row r="457" spans="1:52" x14ac:dyDescent="0.2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c r="AZ457" s="1"/>
    </row>
    <row r="458" spans="1:52" x14ac:dyDescent="0.2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c r="AZ458" s="1"/>
    </row>
    <row r="459" spans="1:52" x14ac:dyDescent="0.2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c r="AZ459" s="1"/>
    </row>
    <row r="460" spans="1:52" x14ac:dyDescent="0.2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c r="AZ460" s="1"/>
    </row>
    <row r="461" spans="1:52" x14ac:dyDescent="0.2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c r="AZ461" s="1"/>
    </row>
    <row r="462" spans="1:52" x14ac:dyDescent="0.2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c r="AZ462" s="1"/>
    </row>
    <row r="463" spans="1:52" x14ac:dyDescent="0.2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c r="AZ463" s="1"/>
    </row>
    <row r="464" spans="1:52" x14ac:dyDescent="0.2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c r="AZ464" s="1"/>
    </row>
    <row r="465" spans="1:52" x14ac:dyDescent="0.2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c r="AZ465" s="1"/>
    </row>
    <row r="466" spans="1:52" x14ac:dyDescent="0.2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c r="AZ466" s="1"/>
    </row>
    <row r="467" spans="1:52" x14ac:dyDescent="0.2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c r="AZ467" s="1"/>
    </row>
    <row r="468" spans="1:52" x14ac:dyDescent="0.2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c r="AZ468" s="1"/>
    </row>
    <row r="469" spans="1:52" x14ac:dyDescent="0.2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c r="AZ469" s="1"/>
    </row>
    <row r="470" spans="1:52" x14ac:dyDescent="0.2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c r="AZ470" s="1"/>
    </row>
    <row r="471" spans="1:52" x14ac:dyDescent="0.2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c r="AZ471" s="1"/>
    </row>
    <row r="472" spans="1:52" x14ac:dyDescent="0.2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c r="AZ472" s="1"/>
    </row>
    <row r="473" spans="1:52" x14ac:dyDescent="0.2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c r="AZ473" s="1"/>
    </row>
    <row r="474" spans="1:52" x14ac:dyDescent="0.2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c r="AZ474" s="1"/>
    </row>
    <row r="475" spans="1:52" x14ac:dyDescent="0.2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c r="AZ475" s="1"/>
    </row>
    <row r="476" spans="1:52" x14ac:dyDescent="0.2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c r="AZ476" s="1"/>
    </row>
    <row r="477" spans="1:52" x14ac:dyDescent="0.2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c r="AZ477" s="1"/>
    </row>
    <row r="478" spans="1:52" x14ac:dyDescent="0.2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c r="AZ478" s="1"/>
    </row>
    <row r="479" spans="1:52" x14ac:dyDescent="0.2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c r="AZ479" s="1"/>
    </row>
    <row r="480" spans="1:52" x14ac:dyDescent="0.2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c r="AZ480" s="1"/>
    </row>
    <row r="481" spans="1:52" x14ac:dyDescent="0.2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c r="AZ481" s="1"/>
    </row>
    <row r="482" spans="1:52" x14ac:dyDescent="0.2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c r="AZ482" s="1"/>
    </row>
    <row r="483" spans="1:52" x14ac:dyDescent="0.2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c r="AZ483" s="1"/>
    </row>
    <row r="484" spans="1:52" x14ac:dyDescent="0.2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c r="AZ484" s="1"/>
    </row>
    <row r="485" spans="1:52" x14ac:dyDescent="0.2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c r="AZ485" s="1"/>
    </row>
    <row r="486" spans="1:52" x14ac:dyDescent="0.2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c r="AZ486" s="1"/>
    </row>
    <row r="487" spans="1:52" x14ac:dyDescent="0.2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c r="AZ487" s="1"/>
    </row>
    <row r="488" spans="1:52" x14ac:dyDescent="0.2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c r="AZ488" s="1"/>
    </row>
    <row r="489" spans="1:52" x14ac:dyDescent="0.2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c r="AZ489" s="1"/>
    </row>
    <row r="490" spans="1:52" x14ac:dyDescent="0.2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c r="AZ490" s="1"/>
    </row>
    <row r="491" spans="1:52" x14ac:dyDescent="0.2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c r="AZ491" s="1"/>
    </row>
    <row r="492" spans="1:52" x14ac:dyDescent="0.2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c r="AZ492" s="1"/>
    </row>
    <row r="493" spans="1:52" x14ac:dyDescent="0.2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c r="AZ493" s="1"/>
    </row>
    <row r="494" spans="1:52" x14ac:dyDescent="0.2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c r="AZ494" s="1"/>
    </row>
    <row r="495" spans="1:52" x14ac:dyDescent="0.2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c r="AZ495" s="1"/>
    </row>
    <row r="496" spans="1:52" x14ac:dyDescent="0.2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c r="AZ496" s="1"/>
    </row>
    <row r="497" spans="1:52" x14ac:dyDescent="0.2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c r="AZ497" s="1"/>
    </row>
    <row r="498" spans="1:52" x14ac:dyDescent="0.2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c r="AZ498" s="1"/>
    </row>
    <row r="499" spans="1:52" x14ac:dyDescent="0.2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c r="AZ499" s="1"/>
    </row>
    <row r="500" spans="1:52" x14ac:dyDescent="0.2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c r="AZ500" s="1"/>
    </row>
    <row r="501" spans="1:52" x14ac:dyDescent="0.2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c r="AZ501" s="1"/>
    </row>
    <row r="502" spans="1:52" x14ac:dyDescent="0.2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c r="AZ502" s="1"/>
    </row>
    <row r="503" spans="1:52" x14ac:dyDescent="0.2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c r="AZ503" s="1"/>
    </row>
    <row r="504" spans="1:52" x14ac:dyDescent="0.2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c r="AZ504" s="1"/>
    </row>
    <row r="505" spans="1:52" x14ac:dyDescent="0.2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c r="AZ505" s="1"/>
    </row>
    <row r="506" spans="1:52" x14ac:dyDescent="0.2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c r="AZ506" s="1"/>
    </row>
    <row r="507" spans="1:52" x14ac:dyDescent="0.2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c r="AZ507" s="1"/>
    </row>
    <row r="508" spans="1:52" x14ac:dyDescent="0.2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c r="AZ508" s="1"/>
    </row>
    <row r="509" spans="1:52" x14ac:dyDescent="0.2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c r="AZ509" s="1"/>
    </row>
    <row r="510" spans="1:52" x14ac:dyDescent="0.2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c r="AZ510" s="1"/>
    </row>
    <row r="511" spans="1:52" x14ac:dyDescent="0.2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c r="AZ511" s="1"/>
    </row>
    <row r="512" spans="1:52" x14ac:dyDescent="0.2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c r="AZ512" s="1"/>
    </row>
    <row r="513" spans="1:52" x14ac:dyDescent="0.2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c r="AZ513" s="1"/>
    </row>
    <row r="514" spans="1:52" x14ac:dyDescent="0.2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c r="AZ514" s="1"/>
    </row>
    <row r="515" spans="1:52" x14ac:dyDescent="0.2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c r="AZ515" s="1"/>
    </row>
    <row r="516" spans="1:52" x14ac:dyDescent="0.2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c r="AZ516" s="1"/>
    </row>
    <row r="517" spans="1:52" x14ac:dyDescent="0.2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c r="AZ517" s="1"/>
    </row>
    <row r="518" spans="1:52" x14ac:dyDescent="0.2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c r="AZ518" s="1"/>
    </row>
    <row r="519" spans="1:52" x14ac:dyDescent="0.2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c r="AZ519" s="1"/>
    </row>
    <row r="520" spans="1:52" x14ac:dyDescent="0.2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c r="AZ520" s="1"/>
    </row>
    <row r="521" spans="1:52" x14ac:dyDescent="0.2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c r="AZ521" s="1"/>
    </row>
    <row r="522" spans="1:52" x14ac:dyDescent="0.2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c r="AZ522" s="1"/>
    </row>
    <row r="523" spans="1:52" x14ac:dyDescent="0.2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c r="AZ523" s="1"/>
    </row>
    <row r="524" spans="1:52" x14ac:dyDescent="0.2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c r="AZ524" s="1"/>
    </row>
    <row r="525" spans="1:52" x14ac:dyDescent="0.2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c r="AZ525" s="1"/>
    </row>
    <row r="526" spans="1:52" x14ac:dyDescent="0.2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c r="AZ526" s="1"/>
    </row>
    <row r="527" spans="1:52" x14ac:dyDescent="0.2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c r="AZ527" s="1"/>
    </row>
    <row r="528" spans="1:52" x14ac:dyDescent="0.2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c r="AZ528" s="1"/>
    </row>
    <row r="529" spans="1:52" x14ac:dyDescent="0.2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c r="AZ529" s="1"/>
    </row>
    <row r="530" spans="1:52" x14ac:dyDescent="0.2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c r="AZ530" s="1"/>
    </row>
    <row r="531" spans="1:52" x14ac:dyDescent="0.2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c r="AZ531" s="1"/>
    </row>
    <row r="532" spans="1:52" x14ac:dyDescent="0.2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c r="AZ532" s="1"/>
    </row>
    <row r="533" spans="1:52" x14ac:dyDescent="0.2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c r="AZ533" s="1"/>
    </row>
    <row r="534" spans="1:52" x14ac:dyDescent="0.2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c r="AZ534" s="1"/>
    </row>
    <row r="535" spans="1:52" x14ac:dyDescent="0.2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c r="AZ535" s="1"/>
    </row>
    <row r="536" spans="1:52" x14ac:dyDescent="0.2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c r="AZ536" s="1"/>
    </row>
    <row r="537" spans="1:52" x14ac:dyDescent="0.2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c r="AZ537" s="1"/>
    </row>
    <row r="538" spans="1:52" x14ac:dyDescent="0.2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c r="AZ538" s="1"/>
    </row>
    <row r="539" spans="1:52" x14ac:dyDescent="0.2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c r="AZ539" s="1"/>
    </row>
    <row r="540" spans="1:52" x14ac:dyDescent="0.2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c r="AZ540" s="1"/>
    </row>
    <row r="541" spans="1:52" x14ac:dyDescent="0.2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c r="AZ541" s="1"/>
    </row>
    <row r="542" spans="1:52" x14ac:dyDescent="0.2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c r="AZ542" s="1"/>
    </row>
    <row r="543" spans="1:52" x14ac:dyDescent="0.2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c r="AZ543" s="1"/>
    </row>
    <row r="544" spans="1:52" x14ac:dyDescent="0.2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c r="AZ544" s="1"/>
    </row>
    <row r="545" spans="1:52" x14ac:dyDescent="0.2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c r="AZ545" s="1"/>
    </row>
    <row r="546" spans="1:52" x14ac:dyDescent="0.2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c r="AZ546" s="1"/>
    </row>
    <row r="547" spans="1:52" x14ac:dyDescent="0.2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c r="AZ547" s="1"/>
    </row>
    <row r="548" spans="1:52" x14ac:dyDescent="0.2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c r="AZ548" s="1"/>
    </row>
    <row r="549" spans="1:52" x14ac:dyDescent="0.2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c r="AZ549" s="1"/>
    </row>
    <row r="550" spans="1:52" x14ac:dyDescent="0.2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c r="AZ550" s="1"/>
    </row>
    <row r="551" spans="1:52" x14ac:dyDescent="0.2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c r="AZ551" s="1"/>
    </row>
    <row r="552" spans="1:52" x14ac:dyDescent="0.2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c r="AZ552" s="1"/>
    </row>
    <row r="553" spans="1:52" x14ac:dyDescent="0.2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c r="AZ553" s="1"/>
    </row>
    <row r="554" spans="1:52" x14ac:dyDescent="0.2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c r="AZ554" s="1"/>
    </row>
    <row r="555" spans="1:52" x14ac:dyDescent="0.2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c r="AZ555" s="1"/>
    </row>
    <row r="556" spans="1:52" x14ac:dyDescent="0.2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c r="AZ556" s="1"/>
    </row>
    <row r="557" spans="1:52" x14ac:dyDescent="0.2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c r="AZ557" s="1"/>
    </row>
    <row r="558" spans="1:52" x14ac:dyDescent="0.2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c r="AZ558" s="1"/>
    </row>
    <row r="559" spans="1:52" x14ac:dyDescent="0.2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c r="AZ559" s="1"/>
    </row>
    <row r="560" spans="1:52" x14ac:dyDescent="0.2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c r="AZ560" s="1"/>
    </row>
    <row r="561" spans="1:52" x14ac:dyDescent="0.2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c r="AZ561" s="1"/>
    </row>
    <row r="562" spans="1:52" x14ac:dyDescent="0.2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c r="AZ562" s="1"/>
    </row>
    <row r="563" spans="1:52" x14ac:dyDescent="0.2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c r="AZ563" s="1"/>
    </row>
    <row r="564" spans="1:52" x14ac:dyDescent="0.2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c r="AZ564" s="1"/>
    </row>
    <row r="565" spans="1:52" x14ac:dyDescent="0.2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c r="AZ565" s="1"/>
    </row>
    <row r="566" spans="1:52" x14ac:dyDescent="0.2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c r="AZ566" s="1"/>
    </row>
    <row r="567" spans="1:52" x14ac:dyDescent="0.2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c r="AZ567" s="1"/>
    </row>
    <row r="568" spans="1:52" x14ac:dyDescent="0.2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c r="AZ568" s="1"/>
    </row>
    <row r="569" spans="1:52" x14ac:dyDescent="0.2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c r="AZ569" s="1"/>
    </row>
    <row r="570" spans="1:52" x14ac:dyDescent="0.2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c r="AZ570" s="1"/>
    </row>
    <row r="571" spans="1:52" x14ac:dyDescent="0.2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c r="AZ571" s="1"/>
    </row>
    <row r="572" spans="1:52" x14ac:dyDescent="0.2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c r="AZ572" s="1"/>
    </row>
    <row r="573" spans="1:52" x14ac:dyDescent="0.2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c r="AZ573" s="1"/>
    </row>
    <row r="574" spans="1:52" x14ac:dyDescent="0.2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c r="AZ574" s="1"/>
    </row>
    <row r="575" spans="1:52" x14ac:dyDescent="0.2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c r="AZ575" s="1"/>
    </row>
    <row r="576" spans="1:52" x14ac:dyDescent="0.2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c r="AZ576" s="1"/>
    </row>
    <row r="577" spans="1:52" x14ac:dyDescent="0.2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c r="AZ577" s="1"/>
    </row>
    <row r="578" spans="1:52" x14ac:dyDescent="0.2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c r="AZ578" s="1"/>
    </row>
    <row r="579" spans="1:52" x14ac:dyDescent="0.2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c r="AZ579" s="1"/>
    </row>
    <row r="580" spans="1:52" x14ac:dyDescent="0.2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c r="AZ580" s="1"/>
    </row>
    <row r="581" spans="1:52" x14ac:dyDescent="0.2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c r="AZ581" s="1"/>
    </row>
    <row r="582" spans="1:52" x14ac:dyDescent="0.2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c r="AZ582" s="1"/>
    </row>
    <row r="583" spans="1:52" x14ac:dyDescent="0.2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c r="AZ583" s="1"/>
    </row>
    <row r="584" spans="1:52" x14ac:dyDescent="0.2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c r="AZ584" s="1"/>
    </row>
    <row r="585" spans="1:52" x14ac:dyDescent="0.2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c r="AZ585" s="1"/>
    </row>
    <row r="586" spans="1:52" x14ac:dyDescent="0.2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c r="AZ586" s="1"/>
    </row>
    <row r="587" spans="1:52" x14ac:dyDescent="0.2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c r="AZ587" s="1"/>
    </row>
    <row r="588" spans="1:52" x14ac:dyDescent="0.2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c r="AZ588" s="1"/>
    </row>
    <row r="589" spans="1:52" x14ac:dyDescent="0.2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c r="AZ589" s="1"/>
    </row>
    <row r="590" spans="1:52" x14ac:dyDescent="0.2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c r="AZ590" s="1"/>
    </row>
    <row r="591" spans="1:52" x14ac:dyDescent="0.2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c r="AZ591" s="1"/>
    </row>
    <row r="592" spans="1:52" x14ac:dyDescent="0.2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c r="AZ592" s="1"/>
    </row>
    <row r="593" spans="1:52" x14ac:dyDescent="0.2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c r="AZ593" s="1"/>
    </row>
    <row r="594" spans="1:52" x14ac:dyDescent="0.2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c r="AZ594" s="1"/>
    </row>
    <row r="595" spans="1:52" x14ac:dyDescent="0.2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c r="AZ595" s="1"/>
    </row>
    <row r="596" spans="1:52" x14ac:dyDescent="0.2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c r="AZ596" s="1"/>
    </row>
    <row r="597" spans="1:52" x14ac:dyDescent="0.2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c r="AZ597" s="1"/>
    </row>
    <row r="598" spans="1:52" x14ac:dyDescent="0.2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c r="AZ598" s="1"/>
    </row>
    <row r="599" spans="1:52" x14ac:dyDescent="0.2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c r="AZ599" s="1"/>
    </row>
    <row r="600" spans="1:52" x14ac:dyDescent="0.2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c r="AZ600" s="1"/>
    </row>
    <row r="601" spans="1:52" x14ac:dyDescent="0.2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c r="AZ601" s="1"/>
    </row>
    <row r="602" spans="1:52" x14ac:dyDescent="0.2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c r="AZ602" s="1"/>
    </row>
    <row r="603" spans="1:52" x14ac:dyDescent="0.2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c r="AZ603" s="1"/>
    </row>
    <row r="604" spans="1:52" x14ac:dyDescent="0.2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c r="AZ604" s="1"/>
    </row>
    <row r="605" spans="1:52" x14ac:dyDescent="0.2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c r="AZ605" s="1"/>
    </row>
    <row r="606" spans="1:52" x14ac:dyDescent="0.2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c r="AZ606" s="1"/>
    </row>
    <row r="607" spans="1:52" x14ac:dyDescent="0.2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c r="AZ607" s="1"/>
    </row>
    <row r="608" spans="1:52" x14ac:dyDescent="0.2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c r="AZ608" s="1"/>
    </row>
    <row r="609" spans="1:52" x14ac:dyDescent="0.2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c r="AZ609" s="1"/>
    </row>
    <row r="610" spans="1:52" x14ac:dyDescent="0.2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c r="AZ610" s="1"/>
    </row>
    <row r="611" spans="1:52" x14ac:dyDescent="0.2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c r="AZ611" s="1"/>
    </row>
    <row r="612" spans="1:52" x14ac:dyDescent="0.2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c r="AZ612" s="1"/>
    </row>
    <row r="613" spans="1:52" x14ac:dyDescent="0.2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c r="AZ613" s="1"/>
    </row>
    <row r="614" spans="1:52" x14ac:dyDescent="0.2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c r="AZ614" s="1"/>
    </row>
    <row r="615" spans="1:52" x14ac:dyDescent="0.2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c r="AZ615" s="1"/>
    </row>
    <row r="616" spans="1:52" x14ac:dyDescent="0.2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c r="AZ616" s="1"/>
    </row>
    <row r="617" spans="1:52" x14ac:dyDescent="0.2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c r="AZ617" s="1"/>
    </row>
    <row r="618" spans="1:52" x14ac:dyDescent="0.2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c r="AZ618" s="1"/>
    </row>
    <row r="619" spans="1:52" x14ac:dyDescent="0.2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c r="AZ619" s="1"/>
    </row>
    <row r="620" spans="1:52" x14ac:dyDescent="0.2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c r="AZ620" s="1"/>
    </row>
    <row r="621" spans="1:52" x14ac:dyDescent="0.2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c r="AZ621" s="1"/>
    </row>
    <row r="622" spans="1:52" x14ac:dyDescent="0.2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c r="AZ622" s="1"/>
    </row>
    <row r="623" spans="1:52" x14ac:dyDescent="0.2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c r="AZ623" s="1"/>
    </row>
    <row r="624" spans="1:52" x14ac:dyDescent="0.2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c r="AZ624" s="1"/>
    </row>
    <row r="625" spans="1:52" x14ac:dyDescent="0.2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c r="AZ625" s="1"/>
    </row>
    <row r="626" spans="1:52" x14ac:dyDescent="0.2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c r="AZ626" s="1"/>
    </row>
    <row r="627" spans="1:52" x14ac:dyDescent="0.2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c r="AZ627" s="1"/>
    </row>
    <row r="628" spans="1:52" x14ac:dyDescent="0.2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c r="AZ628" s="1"/>
    </row>
    <row r="629" spans="1:52" x14ac:dyDescent="0.2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c r="AZ629" s="1"/>
    </row>
    <row r="630" spans="1:52" x14ac:dyDescent="0.2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c r="AZ630" s="1"/>
    </row>
    <row r="631" spans="1:52" x14ac:dyDescent="0.2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c r="AZ631" s="1"/>
    </row>
    <row r="632" spans="1:52" x14ac:dyDescent="0.2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c r="AZ632" s="1"/>
    </row>
    <row r="633" spans="1:52" x14ac:dyDescent="0.2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c r="AZ633" s="1"/>
    </row>
    <row r="634" spans="1:52" x14ac:dyDescent="0.2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c r="AZ634" s="1"/>
    </row>
    <row r="635" spans="1:52" x14ac:dyDescent="0.2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c r="AZ635" s="1"/>
    </row>
    <row r="636" spans="1:52" x14ac:dyDescent="0.2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c r="AZ636" s="1"/>
    </row>
    <row r="637" spans="1:52" x14ac:dyDescent="0.2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c r="AZ637" s="1"/>
    </row>
    <row r="638" spans="1:52" x14ac:dyDescent="0.2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c r="AZ638" s="1"/>
    </row>
    <row r="639" spans="1:52" x14ac:dyDescent="0.2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c r="AZ639" s="1"/>
    </row>
    <row r="640" spans="1:52" x14ac:dyDescent="0.2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c r="AZ640" s="1"/>
    </row>
    <row r="641" spans="1:52" x14ac:dyDescent="0.2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c r="AZ641" s="1"/>
    </row>
    <row r="642" spans="1:52" x14ac:dyDescent="0.2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c r="AZ642" s="1"/>
    </row>
    <row r="643" spans="1:52" x14ac:dyDescent="0.2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c r="AZ643" s="1"/>
    </row>
    <row r="644" spans="1:52" x14ac:dyDescent="0.2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c r="AZ644" s="1"/>
    </row>
    <row r="645" spans="1:52" x14ac:dyDescent="0.2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c r="AZ645" s="1"/>
    </row>
    <row r="646" spans="1:52" x14ac:dyDescent="0.2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c r="AZ646" s="1"/>
    </row>
    <row r="647" spans="1:52" x14ac:dyDescent="0.2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c r="AZ647" s="1"/>
    </row>
    <row r="648" spans="1:52" x14ac:dyDescent="0.2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c r="AZ648" s="1"/>
    </row>
    <row r="649" spans="1:52" x14ac:dyDescent="0.2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c r="AZ649" s="1"/>
    </row>
    <row r="650" spans="1:52" x14ac:dyDescent="0.2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c r="AZ650" s="1"/>
    </row>
    <row r="651" spans="1:52" x14ac:dyDescent="0.2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c r="AZ651" s="1"/>
    </row>
    <row r="652" spans="1:52" x14ac:dyDescent="0.2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c r="AZ652" s="1"/>
    </row>
    <row r="653" spans="1:52" x14ac:dyDescent="0.2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c r="AZ653" s="1"/>
    </row>
    <row r="654" spans="1:52" x14ac:dyDescent="0.2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c r="AZ654" s="1"/>
    </row>
    <row r="655" spans="1:52" x14ac:dyDescent="0.2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c r="AZ655" s="1"/>
    </row>
    <row r="656" spans="1:52" x14ac:dyDescent="0.2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c r="AZ656" s="1"/>
    </row>
    <row r="657" spans="1:52" x14ac:dyDescent="0.2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c r="AZ657" s="1"/>
    </row>
    <row r="658" spans="1:52" x14ac:dyDescent="0.2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c r="AZ658" s="1"/>
    </row>
    <row r="659" spans="1:52" x14ac:dyDescent="0.2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c r="AZ659" s="1"/>
    </row>
    <row r="660" spans="1:52" x14ac:dyDescent="0.2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c r="AZ660" s="1"/>
    </row>
    <row r="661" spans="1:52" x14ac:dyDescent="0.2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c r="AZ661" s="1"/>
    </row>
    <row r="662" spans="1:52" x14ac:dyDescent="0.2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c r="AZ662" s="1"/>
    </row>
    <row r="663" spans="1:52" x14ac:dyDescent="0.2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c r="AZ663" s="1"/>
    </row>
    <row r="664" spans="1:52" x14ac:dyDescent="0.2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c r="AZ664" s="1"/>
    </row>
    <row r="665" spans="1:52" x14ac:dyDescent="0.2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c r="AZ665" s="1"/>
    </row>
    <row r="666" spans="1:52" x14ac:dyDescent="0.2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c r="AZ666" s="1"/>
    </row>
    <row r="667" spans="1:52" x14ac:dyDescent="0.2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c r="AZ667" s="1"/>
    </row>
    <row r="668" spans="1:52" x14ac:dyDescent="0.2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c r="AZ668" s="1"/>
    </row>
    <row r="669" spans="1:52" x14ac:dyDescent="0.2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c r="AZ669" s="1"/>
    </row>
    <row r="670" spans="1:52" x14ac:dyDescent="0.2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c r="AZ670" s="1"/>
    </row>
    <row r="671" spans="1:52" x14ac:dyDescent="0.2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c r="AZ671" s="1"/>
    </row>
    <row r="672" spans="1:52" x14ac:dyDescent="0.2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c r="AZ672" s="1"/>
    </row>
    <row r="673" spans="1:52" x14ac:dyDescent="0.2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c r="AZ673" s="1"/>
    </row>
    <row r="674" spans="1:52" x14ac:dyDescent="0.2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c r="AZ674" s="1"/>
    </row>
    <row r="675" spans="1:52" x14ac:dyDescent="0.2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c r="AZ675" s="1"/>
    </row>
    <row r="676" spans="1:52" x14ac:dyDescent="0.2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c r="AZ676" s="1"/>
    </row>
    <row r="677" spans="1:52" x14ac:dyDescent="0.2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c r="AZ677" s="1"/>
    </row>
    <row r="678" spans="1:52" x14ac:dyDescent="0.2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c r="AZ678" s="1"/>
    </row>
    <row r="679" spans="1:52" x14ac:dyDescent="0.2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c r="AZ679" s="1"/>
    </row>
    <row r="680" spans="1:52" x14ac:dyDescent="0.2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c r="AZ680" s="1"/>
    </row>
    <row r="681" spans="1:52" x14ac:dyDescent="0.2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c r="AZ681" s="1"/>
    </row>
    <row r="682" spans="1:52" x14ac:dyDescent="0.2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c r="AZ682" s="1"/>
    </row>
    <row r="683" spans="1:52" x14ac:dyDescent="0.2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c r="AZ683" s="1"/>
    </row>
    <row r="684" spans="1:52" x14ac:dyDescent="0.2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c r="AZ684" s="1"/>
    </row>
    <row r="685" spans="1:52" x14ac:dyDescent="0.2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c r="AZ685" s="1"/>
    </row>
    <row r="686" spans="1:52" x14ac:dyDescent="0.2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c r="AZ686" s="1"/>
    </row>
    <row r="687" spans="1:52" x14ac:dyDescent="0.2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c r="AZ687" s="1"/>
    </row>
    <row r="688" spans="1:52" x14ac:dyDescent="0.2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c r="AZ688" s="1"/>
    </row>
    <row r="689" spans="1:52" x14ac:dyDescent="0.2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c r="AZ689" s="1"/>
    </row>
    <row r="690" spans="1:52" x14ac:dyDescent="0.2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c r="AZ690" s="1"/>
    </row>
    <row r="691" spans="1:52" x14ac:dyDescent="0.2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c r="AZ691" s="1"/>
    </row>
    <row r="692" spans="1:52" x14ac:dyDescent="0.2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c r="AZ692" s="1"/>
    </row>
    <row r="693" spans="1:52" x14ac:dyDescent="0.2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c r="AZ693" s="1"/>
    </row>
    <row r="694" spans="1:52" x14ac:dyDescent="0.2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c r="AZ694" s="1"/>
    </row>
    <row r="695" spans="1:52" x14ac:dyDescent="0.2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c r="AZ695" s="1"/>
    </row>
    <row r="696" spans="1:52" x14ac:dyDescent="0.2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c r="AZ696" s="1"/>
    </row>
    <row r="697" spans="1:52" x14ac:dyDescent="0.2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c r="AZ697" s="1"/>
    </row>
    <row r="698" spans="1:52" x14ac:dyDescent="0.2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c r="AZ698" s="1"/>
    </row>
    <row r="699" spans="1:52" x14ac:dyDescent="0.2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c r="AZ699" s="1"/>
    </row>
    <row r="700" spans="1:52" x14ac:dyDescent="0.2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c r="AZ700" s="1"/>
    </row>
    <row r="701" spans="1:52" x14ac:dyDescent="0.2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c r="AZ701" s="1"/>
    </row>
    <row r="702" spans="1:52" x14ac:dyDescent="0.2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c r="AZ702" s="1"/>
    </row>
    <row r="703" spans="1:52" x14ac:dyDescent="0.2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c r="AZ703" s="1"/>
    </row>
    <row r="704" spans="1:52" x14ac:dyDescent="0.2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c r="AZ704" s="1"/>
    </row>
    <row r="705" spans="1:52" x14ac:dyDescent="0.2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c r="AZ705" s="1"/>
    </row>
    <row r="706" spans="1:52" x14ac:dyDescent="0.2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c r="AZ706" s="1"/>
    </row>
    <row r="707" spans="1:52" x14ac:dyDescent="0.2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c r="AZ707" s="1"/>
    </row>
    <row r="708" spans="1:52" x14ac:dyDescent="0.2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c r="AZ708" s="1"/>
    </row>
    <row r="709" spans="1:52" x14ac:dyDescent="0.2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c r="AZ709" s="1"/>
    </row>
    <row r="710" spans="1:52" x14ac:dyDescent="0.2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c r="AZ710" s="1"/>
    </row>
    <row r="711" spans="1:52" x14ac:dyDescent="0.2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c r="AZ711" s="1"/>
    </row>
    <row r="712" spans="1:52" x14ac:dyDescent="0.2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c r="AZ712" s="1"/>
    </row>
    <row r="713" spans="1:52" x14ac:dyDescent="0.2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c r="AZ713" s="1"/>
    </row>
    <row r="714" spans="1:52" x14ac:dyDescent="0.2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c r="AZ714" s="1"/>
    </row>
    <row r="715" spans="1:52" x14ac:dyDescent="0.2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c r="AZ715" s="1"/>
    </row>
    <row r="716" spans="1:52" x14ac:dyDescent="0.2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c r="AZ716" s="1"/>
    </row>
    <row r="717" spans="1:52" x14ac:dyDescent="0.2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c r="AZ717" s="1"/>
    </row>
    <row r="718" spans="1:52" x14ac:dyDescent="0.2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c r="AZ718" s="1"/>
    </row>
    <row r="719" spans="1:52" x14ac:dyDescent="0.2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c r="AZ719" s="1"/>
    </row>
    <row r="720" spans="1:52" x14ac:dyDescent="0.2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c r="AZ720" s="1"/>
    </row>
    <row r="721" spans="1:52" x14ac:dyDescent="0.2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c r="AZ721" s="1"/>
    </row>
    <row r="722" spans="1:52" x14ac:dyDescent="0.2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c r="AZ722" s="1"/>
    </row>
    <row r="723" spans="1:52" x14ac:dyDescent="0.2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c r="AZ723" s="1"/>
    </row>
    <row r="724" spans="1:52" x14ac:dyDescent="0.2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c r="AZ724" s="1"/>
    </row>
    <row r="725" spans="1:52" x14ac:dyDescent="0.2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c r="AZ725" s="1"/>
    </row>
    <row r="726" spans="1:52" x14ac:dyDescent="0.2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c r="AZ726" s="1"/>
    </row>
    <row r="727" spans="1:52" x14ac:dyDescent="0.2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c r="AZ727" s="1"/>
    </row>
    <row r="728" spans="1:52" x14ac:dyDescent="0.2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c r="AZ728" s="1"/>
    </row>
    <row r="729" spans="1:52" x14ac:dyDescent="0.2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c r="AZ729" s="1"/>
    </row>
    <row r="730" spans="1:52" x14ac:dyDescent="0.2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c r="AZ730" s="1"/>
    </row>
    <row r="731" spans="1:52" x14ac:dyDescent="0.2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c r="AZ731" s="1"/>
    </row>
    <row r="732" spans="1:52" x14ac:dyDescent="0.2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c r="AZ732" s="1"/>
    </row>
    <row r="733" spans="1:52" x14ac:dyDescent="0.2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c r="AZ733" s="1"/>
    </row>
    <row r="734" spans="1:52" x14ac:dyDescent="0.2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c r="AZ734" s="1"/>
    </row>
    <row r="735" spans="1:52" x14ac:dyDescent="0.2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c r="AZ735" s="1"/>
    </row>
    <row r="736" spans="1:52" x14ac:dyDescent="0.2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c r="AZ736" s="1"/>
    </row>
    <row r="737" spans="1:52" x14ac:dyDescent="0.2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c r="AZ737" s="1"/>
    </row>
    <row r="738" spans="1:52" x14ac:dyDescent="0.2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c r="AZ738" s="1"/>
    </row>
    <row r="739" spans="1:52" x14ac:dyDescent="0.2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c r="AZ739" s="1"/>
    </row>
    <row r="740" spans="1:52" x14ac:dyDescent="0.2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c r="AZ740" s="1"/>
    </row>
    <row r="741" spans="1:52" x14ac:dyDescent="0.2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c r="AZ741" s="1"/>
    </row>
    <row r="742" spans="1:52" x14ac:dyDescent="0.2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c r="AZ742" s="1"/>
    </row>
    <row r="743" spans="1:52" x14ac:dyDescent="0.2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c r="AZ743" s="1"/>
    </row>
    <row r="744" spans="1:52" x14ac:dyDescent="0.2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c r="AZ744" s="1"/>
    </row>
    <row r="745" spans="1:52" x14ac:dyDescent="0.2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c r="AZ745" s="1"/>
    </row>
    <row r="746" spans="1:52" x14ac:dyDescent="0.2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c r="AZ746" s="1"/>
    </row>
    <row r="747" spans="1:52" x14ac:dyDescent="0.2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c r="AZ747" s="1"/>
    </row>
    <row r="748" spans="1:52" x14ac:dyDescent="0.2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c r="AZ748" s="1"/>
    </row>
    <row r="749" spans="1:52" x14ac:dyDescent="0.2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c r="AZ749" s="1"/>
    </row>
    <row r="750" spans="1:52" x14ac:dyDescent="0.2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c r="AZ750" s="1"/>
    </row>
    <row r="751" spans="1:52" x14ac:dyDescent="0.2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c r="AZ751" s="1"/>
    </row>
    <row r="752" spans="1:52" x14ac:dyDescent="0.2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c r="AZ752" s="1"/>
    </row>
    <row r="753" spans="1:52" x14ac:dyDescent="0.2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c r="AZ753" s="1"/>
    </row>
    <row r="754" spans="1:52" x14ac:dyDescent="0.2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c r="AZ754" s="1"/>
    </row>
    <row r="755" spans="1:52" x14ac:dyDescent="0.2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c r="AZ755" s="1"/>
    </row>
    <row r="756" spans="1:52" x14ac:dyDescent="0.2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c r="AZ756" s="1"/>
    </row>
    <row r="757" spans="1:52" x14ac:dyDescent="0.2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c r="AZ757" s="1"/>
    </row>
    <row r="758" spans="1:52" x14ac:dyDescent="0.2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c r="AZ758" s="1"/>
    </row>
    <row r="759" spans="1:52" x14ac:dyDescent="0.2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c r="AZ759" s="1"/>
    </row>
    <row r="760" spans="1:52" x14ac:dyDescent="0.2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c r="AZ760" s="1"/>
    </row>
    <row r="761" spans="1:52" x14ac:dyDescent="0.2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c r="AZ761" s="1"/>
    </row>
    <row r="762" spans="1:52" x14ac:dyDescent="0.2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c r="AZ762" s="1"/>
    </row>
    <row r="763" spans="1:52" x14ac:dyDescent="0.2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c r="AZ763" s="1"/>
    </row>
    <row r="764" spans="1:52" x14ac:dyDescent="0.2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c r="AZ764" s="1"/>
    </row>
    <row r="765" spans="1:52" x14ac:dyDescent="0.2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c r="AZ765" s="1"/>
    </row>
    <row r="766" spans="1:52" x14ac:dyDescent="0.2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c r="AZ766" s="1"/>
    </row>
    <row r="767" spans="1:52" x14ac:dyDescent="0.2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c r="AZ767" s="1"/>
    </row>
    <row r="768" spans="1:52" x14ac:dyDescent="0.2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c r="AZ768" s="1"/>
    </row>
    <row r="769" spans="1:52" x14ac:dyDescent="0.2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c r="AZ769" s="1"/>
    </row>
    <row r="770" spans="1:52" x14ac:dyDescent="0.2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c r="AZ770" s="1"/>
    </row>
    <row r="771" spans="1:52" x14ac:dyDescent="0.2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c r="AZ771" s="1"/>
    </row>
    <row r="772" spans="1:52" x14ac:dyDescent="0.2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c r="AZ772" s="1"/>
    </row>
    <row r="773" spans="1:52" x14ac:dyDescent="0.2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c r="AZ773" s="1"/>
    </row>
    <row r="774" spans="1:52" x14ac:dyDescent="0.2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c r="AZ774" s="1"/>
    </row>
    <row r="775" spans="1:52" x14ac:dyDescent="0.2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c r="AZ775" s="1"/>
    </row>
    <row r="776" spans="1:52" x14ac:dyDescent="0.2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c r="AZ776" s="1"/>
    </row>
    <row r="777" spans="1:52" x14ac:dyDescent="0.2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c r="AZ777" s="1"/>
    </row>
    <row r="778" spans="1:52" x14ac:dyDescent="0.2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c r="AZ778" s="1"/>
    </row>
    <row r="779" spans="1:52" x14ac:dyDescent="0.2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c r="AZ779" s="1"/>
    </row>
    <row r="780" spans="1:52" x14ac:dyDescent="0.2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c r="AZ780" s="1"/>
    </row>
    <row r="781" spans="1:52" x14ac:dyDescent="0.2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c r="AZ781" s="1"/>
    </row>
    <row r="782" spans="1:52" x14ac:dyDescent="0.2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c r="AZ782" s="1"/>
    </row>
    <row r="783" spans="1:52" x14ac:dyDescent="0.2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c r="AZ783" s="1"/>
    </row>
    <row r="784" spans="1:52" x14ac:dyDescent="0.2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c r="AZ784" s="1"/>
    </row>
    <row r="785" spans="1:52" x14ac:dyDescent="0.2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c r="AZ785" s="1"/>
    </row>
    <row r="786" spans="1:52" x14ac:dyDescent="0.2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c r="AZ786" s="1"/>
    </row>
    <row r="787" spans="1:52" x14ac:dyDescent="0.2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c r="AZ787" s="1"/>
    </row>
    <row r="788" spans="1:52" x14ac:dyDescent="0.2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c r="AZ788" s="1"/>
    </row>
    <row r="789" spans="1:52" x14ac:dyDescent="0.2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c r="AZ789" s="1"/>
    </row>
    <row r="790" spans="1:52" x14ac:dyDescent="0.2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c r="AZ790" s="1"/>
    </row>
    <row r="791" spans="1:52" x14ac:dyDescent="0.2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c r="AZ791" s="1"/>
    </row>
    <row r="792" spans="1:52" x14ac:dyDescent="0.2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c r="AZ792" s="1"/>
    </row>
    <row r="793" spans="1:52" x14ac:dyDescent="0.2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c r="AZ793" s="1"/>
    </row>
    <row r="794" spans="1:52" x14ac:dyDescent="0.2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c r="AZ794" s="1"/>
    </row>
    <row r="795" spans="1:52" x14ac:dyDescent="0.2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c r="AZ795" s="1"/>
    </row>
    <row r="796" spans="1:52" x14ac:dyDescent="0.2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c r="AZ796" s="1"/>
    </row>
    <row r="797" spans="1:52" x14ac:dyDescent="0.2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c r="AZ797" s="1"/>
    </row>
    <row r="798" spans="1:52" x14ac:dyDescent="0.2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c r="AZ798" s="1"/>
    </row>
    <row r="799" spans="1:52" x14ac:dyDescent="0.2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c r="AZ799" s="1"/>
    </row>
    <row r="800" spans="1:52" x14ac:dyDescent="0.2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c r="AZ800" s="1"/>
    </row>
    <row r="801" spans="1:52" x14ac:dyDescent="0.2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c r="AZ801" s="1"/>
    </row>
    <row r="802" spans="1:52" x14ac:dyDescent="0.2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c r="AZ802" s="1"/>
    </row>
    <row r="803" spans="1:52" x14ac:dyDescent="0.2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c r="AZ803" s="1"/>
    </row>
    <row r="804" spans="1:52" x14ac:dyDescent="0.2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c r="AZ804" s="1"/>
    </row>
    <row r="805" spans="1:52" x14ac:dyDescent="0.2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c r="AZ805" s="1"/>
    </row>
    <row r="806" spans="1:52" x14ac:dyDescent="0.2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c r="AZ806" s="1"/>
    </row>
    <row r="807" spans="1:52" x14ac:dyDescent="0.2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c r="AZ807" s="1"/>
    </row>
    <row r="808" spans="1:52" x14ac:dyDescent="0.2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c r="AZ808" s="1"/>
    </row>
    <row r="809" spans="1:52" x14ac:dyDescent="0.2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c r="AZ809" s="1"/>
    </row>
    <row r="810" spans="1:52" x14ac:dyDescent="0.2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c r="AZ810" s="1"/>
    </row>
    <row r="811" spans="1:52" x14ac:dyDescent="0.2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c r="AZ811" s="1"/>
    </row>
    <row r="812" spans="1:52" x14ac:dyDescent="0.2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c r="AZ812" s="1"/>
    </row>
    <row r="813" spans="1:52" x14ac:dyDescent="0.2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c r="AZ813" s="1"/>
    </row>
    <row r="814" spans="1:52" x14ac:dyDescent="0.2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c r="AZ814" s="1"/>
    </row>
    <row r="815" spans="1:52" x14ac:dyDescent="0.2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c r="AZ815" s="1"/>
    </row>
    <row r="816" spans="1:52" x14ac:dyDescent="0.2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c r="AZ816" s="1"/>
    </row>
    <row r="817" spans="1:52" x14ac:dyDescent="0.2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c r="AZ817" s="1"/>
    </row>
    <row r="818" spans="1:52" x14ac:dyDescent="0.2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c r="AZ818" s="1"/>
    </row>
    <row r="819" spans="1:52" x14ac:dyDescent="0.2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c r="AZ819" s="1"/>
    </row>
    <row r="820" spans="1:52" x14ac:dyDescent="0.2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c r="AZ820" s="1"/>
    </row>
    <row r="821" spans="1:52" x14ac:dyDescent="0.2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c r="AZ821" s="1"/>
    </row>
    <row r="822" spans="1:52" x14ac:dyDescent="0.2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c r="AZ822" s="1"/>
    </row>
    <row r="823" spans="1:52" x14ac:dyDescent="0.2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c r="AZ823" s="1"/>
    </row>
    <row r="824" spans="1:52" x14ac:dyDescent="0.2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c r="AZ824" s="1"/>
    </row>
    <row r="825" spans="1:52" x14ac:dyDescent="0.2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c r="AZ825" s="1"/>
    </row>
    <row r="826" spans="1:52" x14ac:dyDescent="0.2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c r="AZ826" s="1"/>
    </row>
    <row r="827" spans="1:52" x14ac:dyDescent="0.2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c r="AZ827" s="1"/>
    </row>
    <row r="828" spans="1:52" x14ac:dyDescent="0.2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c r="AZ828" s="1"/>
    </row>
    <row r="829" spans="1:52" x14ac:dyDescent="0.2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c r="AZ829" s="1"/>
    </row>
    <row r="830" spans="1:52" x14ac:dyDescent="0.2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c r="AZ830" s="1"/>
    </row>
    <row r="831" spans="1:52" x14ac:dyDescent="0.2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c r="AZ831" s="1"/>
    </row>
    <row r="832" spans="1:52" x14ac:dyDescent="0.2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c r="AZ832" s="1"/>
    </row>
    <row r="833" spans="1:52" x14ac:dyDescent="0.2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c r="AZ833" s="1"/>
    </row>
    <row r="834" spans="1:52" x14ac:dyDescent="0.2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c r="AZ834" s="1"/>
    </row>
    <row r="835" spans="1:52" x14ac:dyDescent="0.2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c r="AZ835" s="1"/>
    </row>
    <row r="836" spans="1:52" x14ac:dyDescent="0.2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c r="AZ836" s="1"/>
    </row>
    <row r="837" spans="1:52" x14ac:dyDescent="0.2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c r="AZ837" s="1"/>
    </row>
    <row r="838" spans="1:52" x14ac:dyDescent="0.2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c r="AZ838" s="1"/>
    </row>
    <row r="839" spans="1:52" x14ac:dyDescent="0.2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c r="AZ839" s="1"/>
    </row>
    <row r="840" spans="1:52" x14ac:dyDescent="0.2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c r="AZ840" s="1"/>
    </row>
    <row r="841" spans="1:52" x14ac:dyDescent="0.2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c r="AZ841" s="1"/>
    </row>
    <row r="842" spans="1:52" x14ac:dyDescent="0.2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c r="AZ842" s="1"/>
    </row>
    <row r="843" spans="1:52" x14ac:dyDescent="0.2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c r="AZ843" s="1"/>
    </row>
    <row r="844" spans="1:52" x14ac:dyDescent="0.2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c r="AZ844" s="1"/>
    </row>
    <row r="845" spans="1:52" x14ac:dyDescent="0.2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c r="AZ845" s="1"/>
    </row>
    <row r="846" spans="1:52" x14ac:dyDescent="0.2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c r="AZ846" s="1"/>
    </row>
    <row r="847" spans="1:52" x14ac:dyDescent="0.2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c r="AZ847" s="1"/>
    </row>
    <row r="848" spans="1:52" x14ac:dyDescent="0.2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c r="AZ848" s="1"/>
    </row>
    <row r="849" spans="1:52" x14ac:dyDescent="0.2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c r="AZ849" s="1"/>
    </row>
    <row r="850" spans="1:52" x14ac:dyDescent="0.2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c r="AZ850" s="1"/>
    </row>
    <row r="851" spans="1:52" x14ac:dyDescent="0.2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c r="AZ851" s="1"/>
    </row>
    <row r="852" spans="1:52" x14ac:dyDescent="0.2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c r="AZ852" s="1"/>
    </row>
    <row r="853" spans="1:52" x14ac:dyDescent="0.2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c r="AZ853" s="1"/>
    </row>
    <row r="854" spans="1:52" x14ac:dyDescent="0.2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c r="AZ854" s="1"/>
    </row>
    <row r="855" spans="1:52" x14ac:dyDescent="0.2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c r="AZ855" s="1"/>
    </row>
    <row r="856" spans="1:52" x14ac:dyDescent="0.2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c r="AZ856" s="1"/>
    </row>
    <row r="857" spans="1:52" x14ac:dyDescent="0.2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c r="AZ857" s="1"/>
    </row>
    <row r="858" spans="1:52" x14ac:dyDescent="0.2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c r="AZ858" s="1"/>
    </row>
    <row r="859" spans="1:52" x14ac:dyDescent="0.2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c r="AZ859" s="1"/>
    </row>
    <row r="860" spans="1:52" x14ac:dyDescent="0.2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c r="AZ860" s="1"/>
    </row>
    <row r="861" spans="1:52" x14ac:dyDescent="0.2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c r="AZ861" s="1"/>
    </row>
    <row r="862" spans="1:52" x14ac:dyDescent="0.2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c r="AZ862" s="1"/>
    </row>
    <row r="863" spans="1:52" x14ac:dyDescent="0.2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c r="AZ863" s="1"/>
    </row>
    <row r="864" spans="1:52" x14ac:dyDescent="0.2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c r="AZ864" s="1"/>
    </row>
    <row r="865" spans="1:52" x14ac:dyDescent="0.2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c r="AZ865" s="1"/>
    </row>
    <row r="866" spans="1:52" x14ac:dyDescent="0.2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c r="AZ866" s="1"/>
    </row>
    <row r="867" spans="1:52" x14ac:dyDescent="0.2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c r="AZ867" s="1"/>
    </row>
    <row r="868" spans="1:52" x14ac:dyDescent="0.2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c r="AZ868" s="1"/>
    </row>
    <row r="869" spans="1:52" x14ac:dyDescent="0.2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c r="AZ869" s="1"/>
    </row>
    <row r="870" spans="1:52" x14ac:dyDescent="0.2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c r="AZ870" s="1"/>
    </row>
    <row r="871" spans="1:52" x14ac:dyDescent="0.2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c r="AZ871" s="1"/>
    </row>
    <row r="872" spans="1:52" x14ac:dyDescent="0.2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c r="AZ872" s="1"/>
    </row>
    <row r="873" spans="1:52" x14ac:dyDescent="0.2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c r="AZ873" s="1"/>
    </row>
    <row r="874" spans="1:52" x14ac:dyDescent="0.2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c r="AZ874" s="1"/>
    </row>
    <row r="875" spans="1:52" x14ac:dyDescent="0.2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c r="AZ875" s="1"/>
    </row>
    <row r="876" spans="1:52" x14ac:dyDescent="0.2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c r="AZ876" s="1"/>
    </row>
    <row r="877" spans="1:52" x14ac:dyDescent="0.2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c r="AZ877" s="1"/>
    </row>
    <row r="878" spans="1:52" x14ac:dyDescent="0.2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c r="AZ878" s="1"/>
    </row>
    <row r="879" spans="1:52" x14ac:dyDescent="0.2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c r="AZ879" s="1"/>
    </row>
    <row r="880" spans="1:52" x14ac:dyDescent="0.2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c r="AZ880" s="1"/>
    </row>
    <row r="881" spans="1:52" x14ac:dyDescent="0.2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c r="AZ881" s="1"/>
    </row>
    <row r="882" spans="1:52" x14ac:dyDescent="0.2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c r="AZ882" s="1"/>
    </row>
    <row r="883" spans="1:52" x14ac:dyDescent="0.2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c r="AZ883" s="1"/>
    </row>
    <row r="884" spans="1:52" x14ac:dyDescent="0.2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c r="AZ884" s="1"/>
    </row>
    <row r="885" spans="1:52" x14ac:dyDescent="0.2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c r="AZ885" s="1"/>
    </row>
    <row r="886" spans="1:52" x14ac:dyDescent="0.2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c r="AZ886" s="1"/>
    </row>
    <row r="887" spans="1:52" x14ac:dyDescent="0.2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c r="AZ887" s="1"/>
    </row>
    <row r="888" spans="1:52" x14ac:dyDescent="0.2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c r="AZ888" s="1"/>
    </row>
    <row r="889" spans="1:52" x14ac:dyDescent="0.2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c r="AZ889" s="1"/>
    </row>
    <row r="890" spans="1:52" x14ac:dyDescent="0.2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c r="AZ890" s="1"/>
    </row>
    <row r="891" spans="1:52" x14ac:dyDescent="0.2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c r="AZ891" s="1"/>
    </row>
    <row r="892" spans="1:52" x14ac:dyDescent="0.2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c r="AZ892" s="1"/>
    </row>
    <row r="893" spans="1:52" x14ac:dyDescent="0.2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c r="AZ893" s="1"/>
    </row>
    <row r="894" spans="1:52" x14ac:dyDescent="0.2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c r="AZ894" s="1"/>
    </row>
    <row r="895" spans="1:52" x14ac:dyDescent="0.2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c r="AZ895" s="1"/>
    </row>
    <row r="896" spans="1:52" x14ac:dyDescent="0.2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c r="AZ896" s="1"/>
    </row>
    <row r="897" spans="1:52" x14ac:dyDescent="0.2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c r="AZ897" s="1"/>
    </row>
    <row r="898" spans="1:52" x14ac:dyDescent="0.2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c r="AZ898" s="1"/>
    </row>
    <row r="899" spans="1:52" x14ac:dyDescent="0.2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c r="AZ899" s="1"/>
    </row>
    <row r="900" spans="1:52" x14ac:dyDescent="0.2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c r="AZ900" s="1"/>
    </row>
    <row r="901" spans="1:52" x14ac:dyDescent="0.2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c r="AZ901" s="1"/>
    </row>
    <row r="902" spans="1:52" x14ac:dyDescent="0.2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c r="AZ902" s="1"/>
    </row>
    <row r="903" spans="1:52" x14ac:dyDescent="0.2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c r="AZ903" s="1"/>
    </row>
    <row r="904" spans="1:52" x14ac:dyDescent="0.2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c r="AZ904" s="1"/>
    </row>
    <row r="905" spans="1:52" x14ac:dyDescent="0.2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c r="AZ905" s="1"/>
    </row>
    <row r="906" spans="1:52" x14ac:dyDescent="0.2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c r="AZ906" s="1"/>
    </row>
    <row r="907" spans="1:52" x14ac:dyDescent="0.2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c r="AZ907" s="1"/>
    </row>
    <row r="908" spans="1:52" x14ac:dyDescent="0.2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c r="AZ908" s="1"/>
    </row>
    <row r="909" spans="1:52" x14ac:dyDescent="0.2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c r="AZ909" s="1"/>
    </row>
    <row r="910" spans="1:52" x14ac:dyDescent="0.2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c r="AZ910" s="1"/>
    </row>
    <row r="911" spans="1:52" x14ac:dyDescent="0.2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c r="AZ911" s="1"/>
    </row>
    <row r="912" spans="1:52" x14ac:dyDescent="0.2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c r="AZ912" s="1"/>
    </row>
    <row r="913" spans="1:52" x14ac:dyDescent="0.2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c r="AZ913" s="1"/>
    </row>
    <row r="914" spans="1:52" x14ac:dyDescent="0.2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c r="AZ914" s="1"/>
    </row>
    <row r="915" spans="1:52" x14ac:dyDescent="0.2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c r="AZ915" s="1"/>
    </row>
    <row r="916" spans="1:52" x14ac:dyDescent="0.2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c r="AZ916" s="1"/>
    </row>
    <row r="917" spans="1:52" x14ac:dyDescent="0.2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c r="AZ917" s="1"/>
    </row>
    <row r="918" spans="1:52" x14ac:dyDescent="0.2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c r="AZ918" s="1"/>
    </row>
    <row r="919" spans="1:52" x14ac:dyDescent="0.2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c r="AZ919" s="1"/>
    </row>
    <row r="920" spans="1:52" x14ac:dyDescent="0.2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c r="AZ920" s="1"/>
    </row>
    <row r="921" spans="1:52" x14ac:dyDescent="0.2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c r="AZ921" s="1"/>
    </row>
    <row r="922" spans="1:52" x14ac:dyDescent="0.2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c r="AZ922" s="1"/>
    </row>
    <row r="923" spans="1:52" x14ac:dyDescent="0.2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c r="AZ923" s="1"/>
    </row>
    <row r="924" spans="1:52" x14ac:dyDescent="0.2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c r="AZ924" s="1"/>
    </row>
    <row r="925" spans="1:52" x14ac:dyDescent="0.2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c r="AZ925" s="1"/>
    </row>
    <row r="926" spans="1:52" x14ac:dyDescent="0.2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c r="AZ926" s="1"/>
    </row>
    <row r="927" spans="1:52" x14ac:dyDescent="0.2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c r="AZ927" s="1"/>
    </row>
    <row r="928" spans="1:52" x14ac:dyDescent="0.2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c r="AZ928" s="1"/>
    </row>
    <row r="929" spans="1:52" x14ac:dyDescent="0.2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c r="AZ929" s="1"/>
    </row>
    <row r="930" spans="1:52" x14ac:dyDescent="0.2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c r="AZ930" s="1"/>
    </row>
    <row r="931" spans="1:52" x14ac:dyDescent="0.2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c r="AZ931" s="1"/>
    </row>
    <row r="932" spans="1:52" x14ac:dyDescent="0.2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c r="AZ932" s="1"/>
    </row>
    <row r="933" spans="1:52" x14ac:dyDescent="0.2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c r="AZ933" s="1"/>
    </row>
    <row r="934" spans="1:52" x14ac:dyDescent="0.2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c r="AZ934" s="1"/>
    </row>
    <row r="935" spans="1:52" x14ac:dyDescent="0.2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c r="AZ935" s="1"/>
    </row>
    <row r="936" spans="1:52" x14ac:dyDescent="0.2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c r="AZ936" s="1"/>
    </row>
    <row r="937" spans="1:52" x14ac:dyDescent="0.2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c r="AZ937" s="1"/>
    </row>
    <row r="938" spans="1:52" x14ac:dyDescent="0.2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c r="AZ938" s="1"/>
    </row>
    <row r="939" spans="1:52" x14ac:dyDescent="0.2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c r="AZ939" s="1"/>
    </row>
    <row r="940" spans="1:52" x14ac:dyDescent="0.2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c r="AZ940" s="1"/>
    </row>
    <row r="941" spans="1:52" x14ac:dyDescent="0.2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c r="AZ941" s="1"/>
    </row>
    <row r="942" spans="1:52" x14ac:dyDescent="0.2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c r="AZ942" s="1"/>
    </row>
    <row r="943" spans="1:52" x14ac:dyDescent="0.2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c r="AZ943" s="1"/>
    </row>
    <row r="944" spans="1:52" x14ac:dyDescent="0.2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c r="AZ944" s="1"/>
    </row>
    <row r="945" spans="1:52" x14ac:dyDescent="0.2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c r="AZ945" s="1"/>
    </row>
    <row r="946" spans="1:52" x14ac:dyDescent="0.2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c r="AZ946" s="1"/>
    </row>
    <row r="947" spans="1:52" x14ac:dyDescent="0.2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c r="AZ947" s="1"/>
    </row>
    <row r="948" spans="1:52" x14ac:dyDescent="0.2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c r="AZ948" s="1"/>
    </row>
    <row r="949" spans="1:52" x14ac:dyDescent="0.2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c r="AZ949" s="1"/>
    </row>
    <row r="950" spans="1:52" x14ac:dyDescent="0.2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c r="AZ950" s="1"/>
    </row>
    <row r="951" spans="1:52" x14ac:dyDescent="0.2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c r="AZ951" s="1"/>
    </row>
    <row r="952" spans="1:52" x14ac:dyDescent="0.2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c r="AZ952" s="1"/>
    </row>
    <row r="953" spans="1:52" x14ac:dyDescent="0.2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c r="AZ953" s="1"/>
    </row>
    <row r="954" spans="1:52" x14ac:dyDescent="0.2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c r="AZ954" s="1"/>
    </row>
    <row r="955" spans="1:52" x14ac:dyDescent="0.2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c r="AZ955" s="1"/>
    </row>
    <row r="956" spans="1:52" x14ac:dyDescent="0.2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c r="AZ956" s="1"/>
    </row>
    <row r="957" spans="1:52" x14ac:dyDescent="0.2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c r="AZ957" s="1"/>
    </row>
    <row r="958" spans="1:52" x14ac:dyDescent="0.2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c r="AZ958" s="1"/>
    </row>
    <row r="959" spans="1:52" x14ac:dyDescent="0.2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c r="AZ959" s="1"/>
    </row>
    <row r="960" spans="1:52" x14ac:dyDescent="0.2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c r="AZ960" s="1"/>
    </row>
    <row r="961" spans="1:52" x14ac:dyDescent="0.2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c r="AZ961" s="1"/>
    </row>
    <row r="962" spans="1:52" x14ac:dyDescent="0.2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c r="AZ962" s="1"/>
    </row>
    <row r="963" spans="1:52" x14ac:dyDescent="0.2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c r="AZ963" s="1"/>
    </row>
    <row r="964" spans="1:52" x14ac:dyDescent="0.2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c r="AZ964" s="1"/>
    </row>
    <row r="965" spans="1:52" x14ac:dyDescent="0.2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c r="AZ965" s="1"/>
    </row>
    <row r="966" spans="1:52" x14ac:dyDescent="0.2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c r="AZ966" s="1"/>
    </row>
    <row r="967" spans="1:52" x14ac:dyDescent="0.2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c r="AZ967" s="1"/>
    </row>
    <row r="968" spans="1:52" x14ac:dyDescent="0.2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c r="AZ968" s="1"/>
    </row>
    <row r="969" spans="1:52" x14ac:dyDescent="0.2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c r="AZ969" s="1"/>
    </row>
    <row r="970" spans="1:52" x14ac:dyDescent="0.2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c r="AZ970" s="1"/>
    </row>
    <row r="971" spans="1:52" x14ac:dyDescent="0.2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c r="AZ971" s="1"/>
    </row>
    <row r="972" spans="1:52" x14ac:dyDescent="0.2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c r="AZ972" s="1"/>
    </row>
    <row r="973" spans="1:52" x14ac:dyDescent="0.2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c r="AZ973" s="1"/>
    </row>
    <row r="974" spans="1:52" x14ac:dyDescent="0.2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c r="AZ974" s="1"/>
    </row>
    <row r="975" spans="1:52" x14ac:dyDescent="0.2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c r="AZ975" s="1"/>
    </row>
    <row r="976" spans="1:52" x14ac:dyDescent="0.2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c r="AZ976" s="1"/>
    </row>
    <row r="977" spans="1:52" x14ac:dyDescent="0.2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c r="AZ977" s="1"/>
    </row>
    <row r="978" spans="1:52" x14ac:dyDescent="0.2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c r="AZ978" s="1"/>
    </row>
    <row r="979" spans="1:52" x14ac:dyDescent="0.2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c r="AZ979" s="1"/>
    </row>
    <row r="980" spans="1:52" x14ac:dyDescent="0.2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c r="AZ980" s="1"/>
    </row>
    <row r="981" spans="1:52" x14ac:dyDescent="0.2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c r="AZ981" s="1"/>
    </row>
    <row r="982" spans="1:52" x14ac:dyDescent="0.2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c r="AZ982" s="1"/>
    </row>
    <row r="983" spans="1:52" x14ac:dyDescent="0.2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c r="AZ983" s="1"/>
    </row>
    <row r="984" spans="1:52" x14ac:dyDescent="0.2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c r="AZ984" s="1"/>
    </row>
    <row r="985" spans="1:52" x14ac:dyDescent="0.2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c r="AZ985" s="1"/>
    </row>
    <row r="986" spans="1:52" x14ac:dyDescent="0.2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c r="AZ986" s="1"/>
    </row>
    <row r="987" spans="1:52" x14ac:dyDescent="0.2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c r="AZ987" s="1"/>
    </row>
    <row r="988" spans="1:52" x14ac:dyDescent="0.2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c r="AZ988" s="1"/>
    </row>
    <row r="989" spans="1:52" x14ac:dyDescent="0.2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c r="AZ989" s="1"/>
    </row>
    <row r="990" spans="1:52" x14ac:dyDescent="0.2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c r="AZ990" s="1"/>
    </row>
    <row r="991" spans="1:52" x14ac:dyDescent="0.2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c r="AZ991" s="1"/>
    </row>
    <row r="992" spans="1:52" x14ac:dyDescent="0.2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c r="AZ992" s="1"/>
    </row>
    <row r="993" spans="1:52" x14ac:dyDescent="0.2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c r="AZ993" s="1"/>
    </row>
    <row r="994" spans="1:52" x14ac:dyDescent="0.2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c r="AZ994" s="1"/>
    </row>
    <row r="995" spans="1:52" x14ac:dyDescent="0.2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c r="AZ995" s="1"/>
    </row>
    <row r="996" spans="1:52" x14ac:dyDescent="0.2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c r="AZ996" s="1"/>
    </row>
    <row r="997" spans="1:52" x14ac:dyDescent="0.2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c r="AZ997" s="1"/>
    </row>
    <row r="998" spans="1:52" x14ac:dyDescent="0.2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c r="AZ998" s="1"/>
    </row>
    <row r="999" spans="1:52" x14ac:dyDescent="0.2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c r="AZ999" s="1"/>
    </row>
    <row r="1000" spans="1:52" x14ac:dyDescent="0.2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c r="AZ1000" s="1"/>
    </row>
    <row r="1001" spans="1:52" x14ac:dyDescent="0.25">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c r="AW1001" s="1"/>
      <c r="AX1001" s="1"/>
      <c r="AY1001" s="1"/>
      <c r="AZ1001" s="1"/>
    </row>
    <row r="1002" spans="1:52" x14ac:dyDescent="0.25">
      <c r="A1002" s="1"/>
      <c r="B1002" s="1"/>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c r="AA1002" s="1"/>
      <c r="AB1002" s="1"/>
      <c r="AC1002" s="1"/>
      <c r="AD1002" s="1"/>
      <c r="AE1002" s="1"/>
      <c r="AF1002" s="1"/>
      <c r="AG1002" s="1"/>
      <c r="AH1002" s="1"/>
      <c r="AI1002" s="1"/>
      <c r="AJ1002" s="1"/>
      <c r="AK1002" s="1"/>
      <c r="AL1002" s="1"/>
      <c r="AM1002" s="1"/>
      <c r="AN1002" s="1"/>
      <c r="AO1002" s="1"/>
      <c r="AP1002" s="1"/>
      <c r="AQ1002" s="1"/>
      <c r="AR1002" s="1"/>
      <c r="AS1002" s="1"/>
      <c r="AT1002" s="1"/>
      <c r="AU1002" s="1"/>
      <c r="AV1002" s="1"/>
      <c r="AW1002" s="1"/>
      <c r="AX1002" s="1"/>
      <c r="AY1002" s="1"/>
      <c r="AZ1002" s="1"/>
    </row>
    <row r="1003" spans="1:52" x14ac:dyDescent="0.25">
      <c r="A1003" s="1"/>
      <c r="B1003" s="1"/>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c r="AA1003" s="1"/>
      <c r="AB1003" s="1"/>
      <c r="AC1003" s="1"/>
      <c r="AD1003" s="1"/>
      <c r="AE1003" s="1"/>
      <c r="AF1003" s="1"/>
      <c r="AG1003" s="1"/>
      <c r="AH1003" s="1"/>
      <c r="AI1003" s="1"/>
      <c r="AJ1003" s="1"/>
      <c r="AK1003" s="1"/>
      <c r="AL1003" s="1"/>
      <c r="AM1003" s="1"/>
      <c r="AN1003" s="1"/>
      <c r="AO1003" s="1"/>
      <c r="AP1003" s="1"/>
      <c r="AQ1003" s="1"/>
      <c r="AR1003" s="1"/>
      <c r="AS1003" s="1"/>
      <c r="AT1003" s="1"/>
      <c r="AU1003" s="1"/>
      <c r="AV1003" s="1"/>
      <c r="AW1003" s="1"/>
      <c r="AX1003" s="1"/>
      <c r="AY1003" s="1"/>
      <c r="AZ1003" s="1"/>
    </row>
    <row r="1004" spans="1:52" x14ac:dyDescent="0.25">
      <c r="A1004" s="1"/>
      <c r="B1004" s="1"/>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c r="AA1004" s="1"/>
      <c r="AB1004" s="1"/>
      <c r="AC1004" s="1"/>
      <c r="AD1004" s="1"/>
      <c r="AE1004" s="1"/>
      <c r="AF1004" s="1"/>
      <c r="AG1004" s="1"/>
      <c r="AH1004" s="1"/>
      <c r="AI1004" s="1"/>
      <c r="AJ1004" s="1"/>
      <c r="AK1004" s="1"/>
      <c r="AL1004" s="1"/>
      <c r="AM1004" s="1"/>
      <c r="AN1004" s="1"/>
      <c r="AO1004" s="1"/>
      <c r="AP1004" s="1"/>
      <c r="AQ1004" s="1"/>
      <c r="AR1004" s="1"/>
      <c r="AS1004" s="1"/>
      <c r="AT1004" s="1"/>
      <c r="AU1004" s="1"/>
      <c r="AV1004" s="1"/>
      <c r="AW1004" s="1"/>
      <c r="AX1004" s="1"/>
      <c r="AY1004" s="1"/>
      <c r="AZ1004" s="1"/>
    </row>
    <row r="1005" spans="1:52" x14ac:dyDescent="0.25">
      <c r="A1005" s="1"/>
      <c r="B1005" s="1"/>
      <c r="C1005" s="1"/>
      <c r="D1005" s="1"/>
      <c r="E1005" s="1"/>
      <c r="F1005" s="1"/>
      <c r="G1005" s="1"/>
      <c r="H1005" s="1"/>
      <c r="I1005" s="1"/>
      <c r="J1005" s="1"/>
      <c r="K1005" s="1"/>
      <c r="L1005" s="1"/>
      <c r="M1005" s="1"/>
      <c r="N1005" s="1"/>
      <c r="O1005" s="1"/>
      <c r="P1005" s="1"/>
      <c r="Q1005" s="1"/>
      <c r="R1005" s="1"/>
      <c r="S1005" s="1"/>
      <c r="T1005" s="1"/>
      <c r="U1005" s="1"/>
      <c r="V1005" s="1"/>
      <c r="W1005" s="1"/>
      <c r="X1005" s="1"/>
      <c r="Y1005" s="1"/>
      <c r="Z1005" s="1"/>
      <c r="AA1005" s="1"/>
      <c r="AB1005" s="1"/>
      <c r="AC1005" s="1"/>
      <c r="AD1005" s="1"/>
      <c r="AE1005" s="1"/>
      <c r="AF1005" s="1"/>
      <c r="AG1005" s="1"/>
      <c r="AH1005" s="1"/>
      <c r="AI1005" s="1"/>
      <c r="AJ1005" s="1"/>
      <c r="AK1005" s="1"/>
      <c r="AL1005" s="1"/>
      <c r="AM1005" s="1"/>
      <c r="AN1005" s="1"/>
      <c r="AO1005" s="1"/>
      <c r="AP1005" s="1"/>
      <c r="AQ1005" s="1"/>
      <c r="AR1005" s="1"/>
      <c r="AS1005" s="1"/>
      <c r="AT1005" s="1"/>
      <c r="AU1005" s="1"/>
      <c r="AV1005" s="1"/>
      <c r="AW1005" s="1"/>
      <c r="AX1005" s="1"/>
      <c r="AY1005" s="1"/>
      <c r="AZ1005" s="1"/>
    </row>
    <row r="1006" spans="1:52" x14ac:dyDescent="0.25">
      <c r="A1006" s="1"/>
      <c r="B1006" s="1"/>
      <c r="C1006" s="1"/>
      <c r="D1006" s="1"/>
      <c r="E1006" s="1"/>
      <c r="F1006" s="1"/>
      <c r="G1006" s="1"/>
      <c r="H1006" s="1"/>
      <c r="I1006" s="1"/>
      <c r="J1006" s="1"/>
      <c r="K1006" s="1"/>
      <c r="L1006" s="1"/>
      <c r="M1006" s="1"/>
      <c r="N1006" s="1"/>
      <c r="O1006" s="1"/>
      <c r="P1006" s="1"/>
      <c r="Q1006" s="1"/>
      <c r="R1006" s="1"/>
      <c r="S1006" s="1"/>
      <c r="T1006" s="1"/>
      <c r="U1006" s="1"/>
      <c r="V1006" s="1"/>
      <c r="W1006" s="1"/>
      <c r="X1006" s="1"/>
      <c r="Y1006" s="1"/>
      <c r="Z1006" s="1"/>
      <c r="AA1006" s="1"/>
      <c r="AB1006" s="1"/>
      <c r="AC1006" s="1"/>
      <c r="AD1006" s="1"/>
      <c r="AE1006" s="1"/>
      <c r="AF1006" s="1"/>
      <c r="AG1006" s="1"/>
      <c r="AH1006" s="1"/>
      <c r="AI1006" s="1"/>
      <c r="AJ1006" s="1"/>
      <c r="AK1006" s="1"/>
      <c r="AL1006" s="1"/>
      <c r="AM1006" s="1"/>
      <c r="AN1006" s="1"/>
      <c r="AO1006" s="1"/>
      <c r="AP1006" s="1"/>
      <c r="AQ1006" s="1"/>
      <c r="AR1006" s="1"/>
      <c r="AS1006" s="1"/>
      <c r="AT1006" s="1"/>
      <c r="AU1006" s="1"/>
      <c r="AV1006" s="1"/>
      <c r="AW1006" s="1"/>
      <c r="AX1006" s="1"/>
      <c r="AY1006" s="1"/>
      <c r="AZ1006" s="1"/>
    </row>
  </sheetData>
  <pageMargins left="0.75" right="0.75" top="1" bottom="1" header="0.5" footer="0.5"/>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tabColor rgb="FF212121"/>
  </sheetPr>
  <dimension ref="A1:AZ992"/>
  <sheetViews>
    <sheetView showGridLines="0" zoomScale="70" zoomScaleNormal="70" workbookViewId="0">
      <selection activeCell="S68" sqref="S68"/>
    </sheetView>
  </sheetViews>
  <sheetFormatPr defaultColWidth="8.88671875" defaultRowHeight="13.8" x14ac:dyDescent="0.25"/>
  <cols>
    <col min="1" max="1" width="5.5546875" style="2" customWidth="1"/>
    <col min="2" max="2" width="9.33203125" style="2" bestFit="1" customWidth="1"/>
    <col min="3" max="16384" width="8.88671875" style="2"/>
  </cols>
  <sheetData>
    <row r="1" spans="1:52" ht="14.4" customHeight="1" x14ac:dyDescent="0.25">
      <c r="A1" s="461" t="s">
        <v>3</v>
      </c>
      <c r="B1" s="461"/>
      <c r="C1" s="461"/>
      <c r="D1" s="461"/>
      <c r="E1" s="461"/>
      <c r="F1" s="461"/>
      <c r="G1" s="461"/>
      <c r="H1" s="461"/>
      <c r="I1" s="461"/>
      <c r="J1" s="461"/>
      <c r="K1" s="461"/>
      <c r="L1" s="461"/>
      <c r="M1" s="461"/>
      <c r="N1" s="461"/>
      <c r="O1" s="461"/>
      <c r="P1" s="461"/>
      <c r="Q1" s="46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ht="13.8" customHeight="1" x14ac:dyDescent="0.25">
      <c r="A2" s="461"/>
      <c r="B2" s="461"/>
      <c r="C2" s="461"/>
      <c r="D2" s="461"/>
      <c r="E2" s="461"/>
      <c r="F2" s="461"/>
      <c r="G2" s="461"/>
      <c r="H2" s="461"/>
      <c r="I2" s="461"/>
      <c r="J2" s="461"/>
      <c r="K2" s="461"/>
      <c r="L2" s="461"/>
      <c r="M2" s="461"/>
      <c r="N2" s="461"/>
      <c r="O2" s="461"/>
      <c r="P2" s="461"/>
      <c r="Q2" s="46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ht="13.8" customHeight="1" x14ac:dyDescent="0.25">
      <c r="A3" s="461"/>
      <c r="B3" s="461"/>
      <c r="C3" s="461"/>
      <c r="D3" s="461"/>
      <c r="E3" s="461"/>
      <c r="F3" s="461"/>
      <c r="G3" s="461"/>
      <c r="H3" s="461"/>
      <c r="I3" s="461"/>
      <c r="J3" s="461"/>
      <c r="K3" s="461"/>
      <c r="L3" s="461"/>
      <c r="M3" s="461"/>
      <c r="N3" s="461"/>
      <c r="O3" s="461"/>
      <c r="P3" s="461"/>
      <c r="Q3" s="46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3.8" customHeight="1" x14ac:dyDescent="0.25">
      <c r="A4" s="461"/>
      <c r="B4" s="461"/>
      <c r="C4" s="461"/>
      <c r="D4" s="461"/>
      <c r="E4" s="461"/>
      <c r="F4" s="461"/>
      <c r="G4" s="461"/>
      <c r="H4" s="461"/>
      <c r="I4" s="461"/>
      <c r="J4" s="461"/>
      <c r="K4" s="461"/>
      <c r="L4" s="461"/>
      <c r="M4" s="461"/>
      <c r="N4" s="461"/>
      <c r="O4" s="461"/>
      <c r="P4" s="461"/>
      <c r="Q4" s="46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461"/>
      <c r="B5" s="461"/>
      <c r="C5" s="461"/>
      <c r="D5" s="461"/>
      <c r="E5" s="461"/>
      <c r="F5" s="461"/>
      <c r="G5" s="461"/>
      <c r="H5" s="461"/>
      <c r="I5" s="461"/>
      <c r="J5" s="461"/>
      <c r="K5" s="461"/>
      <c r="L5" s="461"/>
      <c r="M5" s="461"/>
      <c r="N5" s="461"/>
      <c r="O5" s="461"/>
      <c r="P5" s="461"/>
      <c r="Q5" s="46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25">
      <c r="A6" s="461"/>
      <c r="B6" s="461"/>
      <c r="C6" s="461"/>
      <c r="D6" s="461"/>
      <c r="E6" s="461"/>
      <c r="F6" s="461"/>
      <c r="G6" s="461"/>
      <c r="H6" s="461"/>
      <c r="I6" s="461"/>
      <c r="J6" s="461"/>
      <c r="K6" s="461"/>
      <c r="L6" s="461"/>
      <c r="M6" s="461"/>
      <c r="N6" s="461"/>
      <c r="O6" s="461"/>
      <c r="P6" s="461"/>
      <c r="Q6" s="46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row>
    <row r="7" spans="1:52" x14ac:dyDescent="0.25">
      <c r="A7" s="1"/>
      <c r="B7" s="1"/>
      <c r="C7" s="1"/>
      <c r="D7" s="1"/>
      <c r="E7" s="1"/>
      <c r="F7" s="1"/>
      <c r="G7" s="1"/>
      <c r="H7" s="1"/>
      <c r="I7" s="1"/>
      <c r="J7" s="1"/>
      <c r="K7" s="1"/>
      <c r="L7" s="1"/>
      <c r="M7" s="1"/>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c r="AZ7" s="1"/>
    </row>
    <row r="8" spans="1:52" x14ac:dyDescent="0.25">
      <c r="A8" s="1"/>
      <c r="B8" s="3" t="s">
        <v>489</v>
      </c>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row>
    <row r="9" spans="1:52" x14ac:dyDescent="0.25">
      <c r="A9" s="1"/>
      <c r="B9" s="4" t="s">
        <v>490</v>
      </c>
      <c r="C9" s="1"/>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row>
    <row r="10" spans="1:52" x14ac:dyDescent="0.25">
      <c r="A10" s="1"/>
      <c r="B10" s="4" t="s">
        <v>500</v>
      </c>
      <c r="C10" s="1"/>
      <c r="D10" s="1"/>
      <c r="E10" s="1"/>
      <c r="F10" s="1"/>
      <c r="G10" s="1"/>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row>
    <row r="11" spans="1:52" x14ac:dyDescent="0.25">
      <c r="A11" s="1"/>
      <c r="B11" s="350" t="s">
        <v>491</v>
      </c>
      <c r="C11" s="1"/>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row>
    <row r="12" spans="1:52" x14ac:dyDescent="0.25">
      <c r="A12" s="1"/>
      <c r="B12" s="350" t="s">
        <v>492</v>
      </c>
      <c r="C12" s="1"/>
      <c r="D12" s="1"/>
      <c r="E12" s="1"/>
      <c r="F12" s="1"/>
      <c r="G12" s="1"/>
      <c r="H12" s="1"/>
      <c r="I12" s="1"/>
      <c r="J12" s="1"/>
      <c r="K12" s="1"/>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row>
    <row r="13" spans="1:52" x14ac:dyDescent="0.25">
      <c r="A13" s="1"/>
      <c r="C13" s="1"/>
      <c r="D13" s="1"/>
      <c r="E13" s="1"/>
      <c r="F13" s="1"/>
      <c r="G13" s="1"/>
      <c r="H13" s="1"/>
      <c r="I13" s="1"/>
      <c r="J13" s="1"/>
      <c r="K13" s="1"/>
      <c r="L13" s="1"/>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c r="AZ13" s="1"/>
    </row>
    <row r="14" spans="1:52" x14ac:dyDescent="0.25">
      <c r="A14" s="1"/>
      <c r="B14" s="3" t="s">
        <v>4</v>
      </c>
      <c r="C14" s="1"/>
      <c r="D14" s="1"/>
      <c r="E14" s="1"/>
      <c r="F14" s="1"/>
      <c r="G14" s="1"/>
      <c r="H14" s="1"/>
      <c r="I14" s="1"/>
      <c r="J14" s="1"/>
      <c r="K14" s="1"/>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row>
    <row r="15" spans="1:52" x14ac:dyDescent="0.25">
      <c r="A15" s="1"/>
      <c r="B15" s="350" t="s">
        <v>499</v>
      </c>
      <c r="C15" s="1"/>
      <c r="D15" s="1"/>
      <c r="E15" s="1"/>
      <c r="F15" s="1"/>
      <c r="G15" s="1"/>
      <c r="H15" s="1"/>
      <c r="I15" s="1"/>
      <c r="J15" s="1"/>
      <c r="K15" s="1"/>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row>
    <row r="16" spans="1:52" x14ac:dyDescent="0.25">
      <c r="A16" s="1"/>
      <c r="B16" s="350" t="s">
        <v>498</v>
      </c>
      <c r="C16" s="1"/>
      <c r="D16" s="1"/>
      <c r="E16" s="1"/>
      <c r="F16" s="1"/>
      <c r="G16" s="1"/>
      <c r="H16" s="1"/>
      <c r="I16" s="1"/>
      <c r="J16" s="1"/>
      <c r="K16" s="1"/>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row>
    <row r="17" spans="1:52" x14ac:dyDescent="0.25">
      <c r="A17" s="1"/>
      <c r="B17" s="4" t="s">
        <v>493</v>
      </c>
      <c r="C17" s="1"/>
      <c r="D17" s="1"/>
      <c r="E17" s="1"/>
      <c r="F17" s="1"/>
      <c r="G17" s="1"/>
      <c r="H17" s="1"/>
      <c r="I17" s="1"/>
      <c r="J17" s="1"/>
      <c r="K17" s="1"/>
      <c r="L17" s="1"/>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c r="AZ17" s="1"/>
    </row>
    <row r="18" spans="1:52" x14ac:dyDescent="0.25">
      <c r="A18" s="1"/>
      <c r="B18" s="4" t="s">
        <v>494</v>
      </c>
      <c r="C18" s="1"/>
      <c r="D18" s="1"/>
      <c r="E18" s="1"/>
      <c r="F18" s="1"/>
      <c r="G18" s="1"/>
      <c r="H18" s="1"/>
      <c r="I18" s="1"/>
      <c r="J18" s="1"/>
      <c r="K18" s="1"/>
      <c r="L18" s="1"/>
      <c r="M18" s="1"/>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c r="AZ18" s="1"/>
    </row>
    <row r="19" spans="1:52" ht="14.4" x14ac:dyDescent="0.3">
      <c r="A19" s="1"/>
      <c r="B19" s="350" t="s">
        <v>495</v>
      </c>
      <c r="C19" s="1"/>
      <c r="D19" s="1"/>
      <c r="E19" s="1"/>
      <c r="F19" s="1"/>
      <c r="G19" s="1"/>
      <c r="H19" s="1"/>
      <c r="I19" s="1"/>
      <c r="J19" s="1"/>
      <c r="K19" s="1"/>
      <c r="L19" s="1"/>
      <c r="M19" s="1"/>
      <c r="N19" s="1"/>
      <c r="O19" s="1"/>
      <c r="P19" s="1"/>
      <c r="Q19" s="1"/>
      <c r="R19" s="1"/>
      <c r="S19" s="1"/>
      <c r="T19"/>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row>
    <row r="20" spans="1:52" x14ac:dyDescent="0.25">
      <c r="A20" s="1"/>
      <c r="B20" s="350" t="s">
        <v>497</v>
      </c>
      <c r="C20" s="1"/>
      <c r="D20" s="1"/>
      <c r="E20" s="1"/>
      <c r="F20" s="1"/>
      <c r="G20" s="1"/>
      <c r="H20" s="1"/>
      <c r="I20" s="1"/>
      <c r="J20" s="1"/>
      <c r="K20" s="1"/>
      <c r="L20" s="1"/>
      <c r="M20" s="1"/>
      <c r="N20" s="1"/>
      <c r="O20" s="1"/>
      <c r="P20" s="1"/>
      <c r="Q20" s="1"/>
      <c r="R20" s="1"/>
      <c r="S20" s="1"/>
      <c r="T20" s="1"/>
      <c r="U20" s="1"/>
      <c r="V20" s="1"/>
      <c r="W20" s="1"/>
      <c r="X20" s="1"/>
      <c r="Y20" s="1"/>
      <c r="Z20" s="1"/>
      <c r="AA20" s="1"/>
      <c r="AB20" s="1"/>
      <c r="AC20" s="1"/>
      <c r="AD20" s="1"/>
      <c r="AE20" s="1"/>
      <c r="AF20" s="1"/>
      <c r="AG20" s="1"/>
      <c r="AH20" s="1"/>
      <c r="AI20" s="1"/>
      <c r="AJ20" s="1"/>
      <c r="AK20" s="1"/>
      <c r="AL20" s="1"/>
      <c r="AM20" s="1"/>
      <c r="AN20" s="1"/>
      <c r="AO20" s="1"/>
      <c r="AP20" s="1"/>
      <c r="AQ20" s="1"/>
      <c r="AR20" s="1"/>
      <c r="AS20" s="1"/>
      <c r="AT20" s="1"/>
      <c r="AU20" s="1"/>
      <c r="AV20" s="1"/>
      <c r="AW20" s="1"/>
      <c r="AX20" s="1"/>
      <c r="AY20" s="1"/>
      <c r="AZ20" s="1"/>
    </row>
    <row r="21" spans="1:52" x14ac:dyDescent="0.25">
      <c r="A21" s="1"/>
      <c r="B21" s="350" t="s">
        <v>496</v>
      </c>
      <c r="C21" s="1"/>
      <c r="D21" s="1"/>
      <c r="E21" s="1"/>
      <c r="F21" s="1"/>
      <c r="G21" s="1"/>
      <c r="H21" s="1"/>
      <c r="I21" s="1"/>
      <c r="J21" s="1"/>
      <c r="K21" s="1"/>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c r="AZ21" s="1"/>
    </row>
    <row r="22" spans="1:52" x14ac:dyDescent="0.25">
      <c r="A22" s="1"/>
      <c r="C22" s="1"/>
      <c r="D22" s="1"/>
      <c r="E22" s="1"/>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row>
    <row r="23" spans="1:52" x14ac:dyDescent="0.25">
      <c r="A23" s="1"/>
      <c r="B23" s="3" t="s">
        <v>502</v>
      </c>
      <c r="C23" s="1"/>
      <c r="D23" s="1"/>
      <c r="E23" s="1"/>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row>
    <row r="24" spans="1:52" x14ac:dyDescent="0.25">
      <c r="A24" s="1"/>
      <c r="B24" s="344"/>
      <c r="C24" s="1"/>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row>
    <row r="25" spans="1:52" ht="14.4" x14ac:dyDescent="0.3">
      <c r="A25" s="1"/>
      <c r="B25"/>
      <c r="C25" s="1"/>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row>
    <row r="26" spans="1:52" x14ac:dyDescent="0.25">
      <c r="A26" s="1"/>
      <c r="C26" s="1"/>
      <c r="D26" s="1"/>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row>
    <row r="27" spans="1:52" x14ac:dyDescent="0.25">
      <c r="A27" s="1"/>
      <c r="C27" s="1"/>
      <c r="D27" s="1"/>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row>
    <row r="28" spans="1:52" x14ac:dyDescent="0.25">
      <c r="A28" s="1"/>
      <c r="C28" s="1"/>
      <c r="D28" s="1"/>
      <c r="E28" s="1"/>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row>
    <row r="29" spans="1:52" x14ac:dyDescent="0.25">
      <c r="A29" s="1"/>
      <c r="C29" s="1"/>
      <c r="D29" s="1"/>
      <c r="E29" s="1"/>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
    </row>
    <row r="30" spans="1:52" x14ac:dyDescent="0.25">
      <c r="A30" s="1"/>
      <c r="C30" s="1"/>
      <c r="D30" s="1"/>
      <c r="E30" s="1"/>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c r="AZ30" s="1"/>
    </row>
    <row r="31" spans="1:52" x14ac:dyDescent="0.25">
      <c r="A31" s="1"/>
      <c r="C31" s="1"/>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row>
    <row r="32" spans="1:52" x14ac:dyDescent="0.25">
      <c r="A32" s="1"/>
      <c r="B32" s="1"/>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c r="AZ32" s="1"/>
    </row>
    <row r="33" spans="1:52" x14ac:dyDescent="0.25">
      <c r="A33" s="1"/>
      <c r="B33" s="196"/>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row>
    <row r="34" spans="1:52" x14ac:dyDescent="0.25">
      <c r="A34" s="1"/>
      <c r="B34" s="1"/>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row>
    <row r="35" spans="1:52" x14ac:dyDescent="0.25">
      <c r="A35" s="1"/>
      <c r="B35" s="1"/>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row>
    <row r="36" spans="1:52" x14ac:dyDescent="0.25">
      <c r="A36" s="1"/>
      <c r="B36" s="1"/>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row>
    <row r="37" spans="1:52" x14ac:dyDescent="0.25">
      <c r="A37" s="1"/>
      <c r="B37" s="1"/>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row>
    <row r="38" spans="1:52" x14ac:dyDescent="0.25">
      <c r="A38" s="1"/>
      <c r="B38" s="1"/>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row>
    <row r="39" spans="1:52" x14ac:dyDescent="0.25">
      <c r="A39" s="1"/>
      <c r="B39" s="1"/>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c r="AZ39" s="1"/>
    </row>
    <row r="40" spans="1:52" x14ac:dyDescent="0.25">
      <c r="A40" s="1"/>
      <c r="B40" s="1"/>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
    </row>
    <row r="41" spans="1:52" x14ac:dyDescent="0.25">
      <c r="A41" s="1"/>
      <c r="B41" s="1"/>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1"/>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1"/>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1"/>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1"/>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row>
    <row r="47" spans="1:52" x14ac:dyDescent="0.25">
      <c r="A47" s="1"/>
      <c r="B47" s="1"/>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c r="AZ47" s="1"/>
    </row>
    <row r="48" spans="1:52" x14ac:dyDescent="0.25">
      <c r="A48" s="1"/>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row>
    <row r="49" spans="1:52" x14ac:dyDescent="0.25">
      <c r="A49" s="1"/>
      <c r="B49" s="1"/>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c r="AZ49" s="1"/>
    </row>
    <row r="50" spans="1:52" x14ac:dyDescent="0.25">
      <c r="A50" s="1"/>
      <c r="B50" s="1"/>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row>
    <row r="51" spans="1:52" x14ac:dyDescent="0.25">
      <c r="A51" s="1"/>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row>
    <row r="52" spans="1:52" x14ac:dyDescent="0.25">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row>
    <row r="53" spans="1:52" x14ac:dyDescent="0.25">
      <c r="A53" s="1"/>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row>
    <row r="54" spans="1:52" x14ac:dyDescent="0.25">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row>
    <row r="55" spans="1:52" x14ac:dyDescent="0.25">
      <c r="A55" s="1"/>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row>
    <row r="56" spans="1:52" x14ac:dyDescent="0.25">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row>
    <row r="57" spans="1:52" x14ac:dyDescent="0.25">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row>
    <row r="58" spans="1:52" x14ac:dyDescent="0.25">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row>
    <row r="59" spans="1:52" x14ac:dyDescent="0.25">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row>
    <row r="60" spans="1:52" x14ac:dyDescent="0.25">
      <c r="A60" s="1"/>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row>
    <row r="61" spans="1:52" x14ac:dyDescent="0.25">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row>
    <row r="62" spans="1:52" x14ac:dyDescent="0.25">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row>
    <row r="63" spans="1:52" x14ac:dyDescent="0.25">
      <c r="A63" s="1"/>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row>
    <row r="64" spans="1:52" x14ac:dyDescent="0.25">
      <c r="A64" s="1"/>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row>
    <row r="65" spans="1:52" x14ac:dyDescent="0.25">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row>
    <row r="66" spans="1:52" x14ac:dyDescent="0.25">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row>
    <row r="67" spans="1:52" x14ac:dyDescent="0.25">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row>
    <row r="68" spans="1:52" x14ac:dyDescent="0.25">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row>
    <row r="69" spans="1:52" x14ac:dyDescent="0.25">
      <c r="A69" s="1"/>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row>
    <row r="70" spans="1:52" x14ac:dyDescent="0.25">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row>
    <row r="71" spans="1:52" x14ac:dyDescent="0.25">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row>
    <row r="72" spans="1:52" x14ac:dyDescent="0.25">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row>
    <row r="73" spans="1:52" x14ac:dyDescent="0.25">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row>
    <row r="74" spans="1:52" x14ac:dyDescent="0.25">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row>
    <row r="75" spans="1:52" x14ac:dyDescent="0.25">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row>
    <row r="76" spans="1:52" x14ac:dyDescent="0.25">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row>
    <row r="77" spans="1:52" x14ac:dyDescent="0.25">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row>
    <row r="78" spans="1:52" x14ac:dyDescent="0.25">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row>
    <row r="79" spans="1:52" x14ac:dyDescent="0.25">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row>
    <row r="80" spans="1:52" x14ac:dyDescent="0.25">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row>
    <row r="81" spans="1:52" x14ac:dyDescent="0.25">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row>
    <row r="82" spans="1:52" x14ac:dyDescent="0.25">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row>
    <row r="83" spans="1:52" x14ac:dyDescent="0.25">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row>
    <row r="84" spans="1:52" x14ac:dyDescent="0.25">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row>
    <row r="85" spans="1:52" x14ac:dyDescent="0.25">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row>
    <row r="86" spans="1:52" x14ac:dyDescent="0.25">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row>
    <row r="87" spans="1:52" x14ac:dyDescent="0.25">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row>
    <row r="88" spans="1:52" x14ac:dyDescent="0.25">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row>
    <row r="89" spans="1:52" x14ac:dyDescent="0.25">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row>
    <row r="90" spans="1:52" x14ac:dyDescent="0.25">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row>
    <row r="91" spans="1:52" x14ac:dyDescent="0.25">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row>
    <row r="92" spans="1:52" x14ac:dyDescent="0.25">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row>
    <row r="93" spans="1:52" x14ac:dyDescent="0.25">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row>
    <row r="94" spans="1:52" x14ac:dyDescent="0.25">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row>
    <row r="95" spans="1:52" x14ac:dyDescent="0.25">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row>
    <row r="96" spans="1:52" x14ac:dyDescent="0.25">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row>
    <row r="97" spans="1:52" x14ac:dyDescent="0.25">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row>
    <row r="98" spans="1:52" x14ac:dyDescent="0.25">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row>
    <row r="99" spans="1:52" x14ac:dyDescent="0.25">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row>
    <row r="100" spans="1:52" x14ac:dyDescent="0.2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row>
    <row r="101" spans="1:52" x14ac:dyDescent="0.25">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row>
    <row r="102" spans="1:52" x14ac:dyDescent="0.2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row>
    <row r="103" spans="1:52" x14ac:dyDescent="0.25">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row>
    <row r="104" spans="1:52" x14ac:dyDescent="0.2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row>
    <row r="105" spans="1:52" x14ac:dyDescent="0.2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row>
    <row r="106" spans="1:52" x14ac:dyDescent="0.25">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row>
    <row r="107" spans="1:52" x14ac:dyDescent="0.25">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row>
    <row r="108" spans="1:52" x14ac:dyDescent="0.25">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row>
    <row r="109" spans="1:52" x14ac:dyDescent="0.25">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row>
    <row r="110" spans="1:52" x14ac:dyDescent="0.25">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row>
    <row r="111" spans="1:52" x14ac:dyDescent="0.25">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row>
    <row r="112" spans="1:52" x14ac:dyDescent="0.25">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row>
    <row r="113" spans="1:52" x14ac:dyDescent="0.25">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row>
    <row r="114" spans="1:52" x14ac:dyDescent="0.25">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row>
    <row r="115" spans="1:52" x14ac:dyDescent="0.2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row>
    <row r="116" spans="1:52" x14ac:dyDescent="0.25">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row>
    <row r="117" spans="1:52" x14ac:dyDescent="0.25">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row>
    <row r="118" spans="1:52" x14ac:dyDescent="0.25">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row>
    <row r="119" spans="1:52" x14ac:dyDescent="0.25">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row>
    <row r="120" spans="1:52" x14ac:dyDescent="0.25">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row>
    <row r="121" spans="1:52" x14ac:dyDescent="0.25">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row>
    <row r="122" spans="1:52" x14ac:dyDescent="0.25">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row>
    <row r="123" spans="1:52" x14ac:dyDescent="0.25">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row>
    <row r="124" spans="1:52" x14ac:dyDescent="0.25">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row>
    <row r="125" spans="1:52" x14ac:dyDescent="0.2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row>
    <row r="126" spans="1:52" x14ac:dyDescent="0.25">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row>
    <row r="127" spans="1:52" x14ac:dyDescent="0.25">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row>
    <row r="128" spans="1:52" x14ac:dyDescent="0.25">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row>
    <row r="129" spans="1:52" x14ac:dyDescent="0.25">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row>
    <row r="130" spans="1:52" x14ac:dyDescent="0.25">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row>
    <row r="131" spans="1:52" x14ac:dyDescent="0.25">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row>
    <row r="132" spans="1:52" x14ac:dyDescent="0.25">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row>
    <row r="133" spans="1:52" x14ac:dyDescent="0.25">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row>
    <row r="134" spans="1:52" x14ac:dyDescent="0.25">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row>
    <row r="135" spans="1:52" x14ac:dyDescent="0.2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row>
    <row r="136" spans="1:52" x14ac:dyDescent="0.25">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row>
    <row r="137" spans="1:52" x14ac:dyDescent="0.25">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row>
    <row r="138" spans="1:52" x14ac:dyDescent="0.25">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row>
    <row r="139" spans="1:52" x14ac:dyDescent="0.25">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row>
    <row r="140" spans="1:52" x14ac:dyDescent="0.25">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row>
    <row r="141" spans="1:52" x14ac:dyDescent="0.25">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row>
    <row r="142" spans="1:52" x14ac:dyDescent="0.25">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row>
    <row r="143" spans="1:52" x14ac:dyDescent="0.2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row>
    <row r="144" spans="1:52" x14ac:dyDescent="0.2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row>
    <row r="145" spans="1:52" x14ac:dyDescent="0.2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row>
    <row r="146" spans="1:52" x14ac:dyDescent="0.2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row>
    <row r="147" spans="1:52" x14ac:dyDescent="0.2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row>
    <row r="148" spans="1:52" x14ac:dyDescent="0.2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row>
    <row r="149" spans="1:52" x14ac:dyDescent="0.2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row>
    <row r="150" spans="1:52" x14ac:dyDescent="0.2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row>
    <row r="151" spans="1:52" x14ac:dyDescent="0.2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row>
    <row r="152" spans="1:52" x14ac:dyDescent="0.2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row>
    <row r="153" spans="1:52" x14ac:dyDescent="0.2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row>
    <row r="154" spans="1:52" x14ac:dyDescent="0.2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row>
    <row r="155" spans="1:52" x14ac:dyDescent="0.2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row>
    <row r="156" spans="1:52" x14ac:dyDescent="0.2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row>
    <row r="157" spans="1:52" x14ac:dyDescent="0.2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row>
    <row r="158" spans="1:52" x14ac:dyDescent="0.2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row>
    <row r="159" spans="1:52" x14ac:dyDescent="0.2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row>
    <row r="160" spans="1:52" x14ac:dyDescent="0.2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row>
    <row r="161" spans="1:52" x14ac:dyDescent="0.2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row>
    <row r="162" spans="1:52" x14ac:dyDescent="0.2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row>
    <row r="163" spans="1:52" x14ac:dyDescent="0.2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row>
    <row r="164" spans="1:52" x14ac:dyDescent="0.2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row>
    <row r="165" spans="1:52" x14ac:dyDescent="0.2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row>
    <row r="166" spans="1:52" x14ac:dyDescent="0.2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row>
    <row r="167" spans="1:52" x14ac:dyDescent="0.2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row>
    <row r="168" spans="1:52" x14ac:dyDescent="0.2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row>
    <row r="169" spans="1:52" x14ac:dyDescent="0.2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row>
    <row r="170" spans="1:52" x14ac:dyDescent="0.2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row>
    <row r="171" spans="1:52" x14ac:dyDescent="0.2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row>
    <row r="172" spans="1:52" x14ac:dyDescent="0.2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row>
    <row r="173" spans="1:52" x14ac:dyDescent="0.2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row>
    <row r="174" spans="1:52" x14ac:dyDescent="0.2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row>
    <row r="175" spans="1:52" x14ac:dyDescent="0.2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row>
    <row r="176" spans="1:52" x14ac:dyDescent="0.2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row>
    <row r="177" spans="1:52" x14ac:dyDescent="0.2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row>
    <row r="178" spans="1:52" x14ac:dyDescent="0.2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row>
    <row r="179" spans="1:52" x14ac:dyDescent="0.2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row>
    <row r="180" spans="1:52" x14ac:dyDescent="0.2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row>
    <row r="181" spans="1:52" x14ac:dyDescent="0.2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row>
    <row r="182" spans="1:52" x14ac:dyDescent="0.2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row>
    <row r="183" spans="1:52" x14ac:dyDescent="0.2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row>
    <row r="184" spans="1:52" x14ac:dyDescent="0.2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row>
    <row r="185" spans="1:52" x14ac:dyDescent="0.2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row>
    <row r="186" spans="1:52" x14ac:dyDescent="0.2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row>
    <row r="187" spans="1:52" x14ac:dyDescent="0.2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row>
    <row r="188" spans="1:52" x14ac:dyDescent="0.2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row>
    <row r="189" spans="1:52" x14ac:dyDescent="0.2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row>
    <row r="190" spans="1:52" x14ac:dyDescent="0.2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row>
    <row r="191" spans="1:52" x14ac:dyDescent="0.2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row>
    <row r="192" spans="1:52" x14ac:dyDescent="0.2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row>
    <row r="193" spans="1:52" x14ac:dyDescent="0.2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row>
    <row r="194" spans="1:52" x14ac:dyDescent="0.2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row>
    <row r="195" spans="1:52" x14ac:dyDescent="0.2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row>
    <row r="196" spans="1:52" x14ac:dyDescent="0.2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row>
    <row r="197" spans="1:52" x14ac:dyDescent="0.2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row>
    <row r="198" spans="1:52" x14ac:dyDescent="0.2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row>
    <row r="199" spans="1:52" x14ac:dyDescent="0.2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row>
    <row r="200" spans="1:52" x14ac:dyDescent="0.2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row>
    <row r="201" spans="1:52" x14ac:dyDescent="0.2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row>
    <row r="202" spans="1:52" x14ac:dyDescent="0.2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row>
    <row r="203" spans="1:52" x14ac:dyDescent="0.2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row>
    <row r="204" spans="1:52" x14ac:dyDescent="0.2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row>
    <row r="205" spans="1:52" x14ac:dyDescent="0.2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row>
    <row r="206" spans="1:52" x14ac:dyDescent="0.2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row>
    <row r="207" spans="1:52" x14ac:dyDescent="0.2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row>
    <row r="208" spans="1:52" x14ac:dyDescent="0.2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row>
    <row r="209" spans="1:52" x14ac:dyDescent="0.2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row>
    <row r="210" spans="1:52" x14ac:dyDescent="0.2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row>
    <row r="211" spans="1:52" x14ac:dyDescent="0.2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row>
    <row r="212" spans="1:52" x14ac:dyDescent="0.2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row>
    <row r="213" spans="1:52" x14ac:dyDescent="0.2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row>
    <row r="214" spans="1:52" x14ac:dyDescent="0.2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row>
    <row r="215" spans="1:52" x14ac:dyDescent="0.2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row>
    <row r="216" spans="1:52" x14ac:dyDescent="0.2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row>
    <row r="217" spans="1:52" x14ac:dyDescent="0.2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row>
    <row r="218" spans="1:52" x14ac:dyDescent="0.2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row>
    <row r="219" spans="1:52" x14ac:dyDescent="0.2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row>
    <row r="220" spans="1:52" x14ac:dyDescent="0.2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row>
    <row r="221" spans="1:52" x14ac:dyDescent="0.2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row>
    <row r="222" spans="1:52" x14ac:dyDescent="0.2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row>
    <row r="223" spans="1:52" x14ac:dyDescent="0.2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row>
    <row r="224" spans="1:52" x14ac:dyDescent="0.2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row>
    <row r="225" spans="1:52" x14ac:dyDescent="0.2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row>
    <row r="226" spans="1:52" x14ac:dyDescent="0.2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row>
    <row r="227" spans="1:52" x14ac:dyDescent="0.2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row>
    <row r="228" spans="1:52" x14ac:dyDescent="0.2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row>
    <row r="229" spans="1:52" x14ac:dyDescent="0.2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row>
    <row r="230" spans="1:52" x14ac:dyDescent="0.2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row>
    <row r="231" spans="1:52" x14ac:dyDescent="0.2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row>
    <row r="232" spans="1:52" x14ac:dyDescent="0.2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row>
    <row r="233" spans="1:52" x14ac:dyDescent="0.2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row>
    <row r="234" spans="1:52" x14ac:dyDescent="0.2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row>
    <row r="235" spans="1:52" x14ac:dyDescent="0.2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row>
    <row r="236" spans="1:52" x14ac:dyDescent="0.2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row>
    <row r="237" spans="1:52" x14ac:dyDescent="0.2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row>
    <row r="238" spans="1:52" x14ac:dyDescent="0.2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row>
    <row r="239" spans="1:52" x14ac:dyDescent="0.2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row>
    <row r="240" spans="1:52" x14ac:dyDescent="0.2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row>
    <row r="241" spans="1:52" x14ac:dyDescent="0.2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row>
    <row r="242" spans="1:52" x14ac:dyDescent="0.2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row>
    <row r="243" spans="1:52" x14ac:dyDescent="0.2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row>
    <row r="244" spans="1:52" x14ac:dyDescent="0.2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row>
    <row r="245" spans="1:52" x14ac:dyDescent="0.2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row>
    <row r="246" spans="1:52" x14ac:dyDescent="0.2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row>
    <row r="247" spans="1:52" x14ac:dyDescent="0.2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row>
    <row r="248" spans="1:52" x14ac:dyDescent="0.2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row>
    <row r="249" spans="1:52" x14ac:dyDescent="0.2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row>
    <row r="250" spans="1:52" x14ac:dyDescent="0.2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row>
    <row r="251" spans="1:52" x14ac:dyDescent="0.2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row>
    <row r="252" spans="1:52" x14ac:dyDescent="0.2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row>
    <row r="253" spans="1:52" x14ac:dyDescent="0.2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row>
    <row r="254" spans="1:52" x14ac:dyDescent="0.2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row>
    <row r="255" spans="1:52" x14ac:dyDescent="0.2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row>
    <row r="256" spans="1:52" x14ac:dyDescent="0.2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row>
    <row r="257" spans="1:52" x14ac:dyDescent="0.2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row>
    <row r="258" spans="1:52" x14ac:dyDescent="0.2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row>
    <row r="259" spans="1:52" x14ac:dyDescent="0.2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row>
    <row r="260" spans="1:52" x14ac:dyDescent="0.2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row>
    <row r="261" spans="1:52" x14ac:dyDescent="0.2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row>
    <row r="262" spans="1:52" x14ac:dyDescent="0.2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row>
    <row r="263" spans="1:52" x14ac:dyDescent="0.2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row>
    <row r="264" spans="1:52" x14ac:dyDescent="0.2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row>
    <row r="265" spans="1:52" x14ac:dyDescent="0.2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row>
    <row r="266" spans="1:52" x14ac:dyDescent="0.2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row>
    <row r="267" spans="1:52" x14ac:dyDescent="0.2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row>
    <row r="268" spans="1:52" x14ac:dyDescent="0.2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c r="AZ268" s="1"/>
    </row>
    <row r="269" spans="1:52" x14ac:dyDescent="0.2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c r="AZ269" s="1"/>
    </row>
    <row r="270" spans="1:52" x14ac:dyDescent="0.2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c r="AZ270" s="1"/>
    </row>
    <row r="271" spans="1:52" x14ac:dyDescent="0.2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c r="AZ271" s="1"/>
    </row>
    <row r="272" spans="1:52" x14ac:dyDescent="0.2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c r="AZ272" s="1"/>
    </row>
    <row r="273" spans="1:52" x14ac:dyDescent="0.2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c r="AZ273" s="1"/>
    </row>
    <row r="274" spans="1:52" x14ac:dyDescent="0.2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c r="AZ274" s="1"/>
    </row>
    <row r="275" spans="1:52" x14ac:dyDescent="0.2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c r="AZ275" s="1"/>
    </row>
    <row r="276" spans="1:52" x14ac:dyDescent="0.2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c r="AZ276" s="1"/>
    </row>
    <row r="277" spans="1:52" x14ac:dyDescent="0.2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c r="AZ277" s="1"/>
    </row>
    <row r="278" spans="1:52" x14ac:dyDescent="0.2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c r="AZ278" s="1"/>
    </row>
    <row r="279" spans="1:52" x14ac:dyDescent="0.2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c r="AZ279" s="1"/>
    </row>
    <row r="280" spans="1:52" x14ac:dyDescent="0.2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c r="AZ280" s="1"/>
    </row>
    <row r="281" spans="1:52" x14ac:dyDescent="0.2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c r="AZ281" s="1"/>
    </row>
    <row r="282" spans="1:52" x14ac:dyDescent="0.2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c r="AZ282" s="1"/>
    </row>
    <row r="283" spans="1:52" x14ac:dyDescent="0.2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c r="AZ283" s="1"/>
    </row>
    <row r="284" spans="1:52" x14ac:dyDescent="0.2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c r="AZ284" s="1"/>
    </row>
    <row r="285" spans="1:52" x14ac:dyDescent="0.2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c r="AZ285" s="1"/>
    </row>
    <row r="286" spans="1:52" x14ac:dyDescent="0.2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c r="AZ286" s="1"/>
    </row>
    <row r="287" spans="1:52" x14ac:dyDescent="0.2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c r="AZ287" s="1"/>
    </row>
    <row r="288" spans="1:52" x14ac:dyDescent="0.2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c r="AZ288" s="1"/>
    </row>
    <row r="289" spans="1:52" x14ac:dyDescent="0.2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c r="AZ289" s="1"/>
    </row>
    <row r="290" spans="1:52" x14ac:dyDescent="0.2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c r="AZ290" s="1"/>
    </row>
    <row r="291" spans="1:52" x14ac:dyDescent="0.2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c r="AZ291" s="1"/>
    </row>
    <row r="292" spans="1:52" x14ac:dyDescent="0.2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c r="AZ292" s="1"/>
    </row>
    <row r="293" spans="1:52" x14ac:dyDescent="0.2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c r="AZ293" s="1"/>
    </row>
    <row r="294" spans="1:52" x14ac:dyDescent="0.2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c r="AZ294" s="1"/>
    </row>
    <row r="295" spans="1:52" x14ac:dyDescent="0.2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c r="AZ295" s="1"/>
    </row>
    <row r="296" spans="1:52" x14ac:dyDescent="0.2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c r="AZ296" s="1"/>
    </row>
    <row r="297" spans="1:52" x14ac:dyDescent="0.2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c r="AZ297" s="1"/>
    </row>
    <row r="298" spans="1:52" x14ac:dyDescent="0.2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c r="AZ298" s="1"/>
    </row>
    <row r="299" spans="1:52" x14ac:dyDescent="0.2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c r="AZ299" s="1"/>
    </row>
    <row r="300" spans="1:52" x14ac:dyDescent="0.2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c r="AZ300" s="1"/>
    </row>
    <row r="301" spans="1:52" x14ac:dyDescent="0.2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c r="AZ301" s="1"/>
    </row>
    <row r="302" spans="1:52" x14ac:dyDescent="0.2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c r="AZ302" s="1"/>
    </row>
    <row r="303" spans="1:52" x14ac:dyDescent="0.2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row>
    <row r="304" spans="1:52" x14ac:dyDescent="0.2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c r="AZ304" s="1"/>
    </row>
    <row r="305" spans="1:52" x14ac:dyDescent="0.2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c r="AZ305" s="1"/>
    </row>
    <row r="306" spans="1:52" x14ac:dyDescent="0.2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c r="AZ306" s="1"/>
    </row>
    <row r="307" spans="1:52" x14ac:dyDescent="0.2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row>
    <row r="308" spans="1:52" x14ac:dyDescent="0.2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c r="AZ308" s="1"/>
    </row>
    <row r="309" spans="1:52" x14ac:dyDescent="0.2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c r="AZ309" s="1"/>
    </row>
    <row r="310" spans="1:52" x14ac:dyDescent="0.2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c r="AZ310" s="1"/>
    </row>
    <row r="311" spans="1:52" x14ac:dyDescent="0.2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row>
    <row r="312" spans="1:52" x14ac:dyDescent="0.2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row>
    <row r="313" spans="1:52" x14ac:dyDescent="0.2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row>
    <row r="314" spans="1:52" x14ac:dyDescent="0.2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row>
    <row r="315" spans="1:52" x14ac:dyDescent="0.2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row>
    <row r="316" spans="1:52" x14ac:dyDescent="0.2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row>
    <row r="317" spans="1:52" x14ac:dyDescent="0.2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row>
    <row r="318" spans="1:52" x14ac:dyDescent="0.2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row>
    <row r="319" spans="1:52" x14ac:dyDescent="0.2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row>
    <row r="320" spans="1:52" x14ac:dyDescent="0.2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row>
    <row r="321" spans="1:52" x14ac:dyDescent="0.2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row>
    <row r="322" spans="1:52" x14ac:dyDescent="0.2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c r="AZ322" s="1"/>
    </row>
    <row r="323" spans="1:52" x14ac:dyDescent="0.2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c r="AZ323" s="1"/>
    </row>
    <row r="324" spans="1:52" x14ac:dyDescent="0.2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row>
    <row r="325" spans="1:52" x14ac:dyDescent="0.2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row>
    <row r="326" spans="1:52" x14ac:dyDescent="0.2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c r="AZ326" s="1"/>
    </row>
    <row r="327" spans="1:52" x14ac:dyDescent="0.2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row>
    <row r="328" spans="1:52" x14ac:dyDescent="0.2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row>
    <row r="329" spans="1:52" x14ac:dyDescent="0.2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c r="AZ329" s="1"/>
    </row>
    <row r="330" spans="1:52" x14ac:dyDescent="0.2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c r="AZ330" s="1"/>
    </row>
    <row r="331" spans="1:52" x14ac:dyDescent="0.2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c r="AZ331" s="1"/>
    </row>
    <row r="332" spans="1:52" x14ac:dyDescent="0.2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c r="AZ332" s="1"/>
    </row>
    <row r="333" spans="1:52" x14ac:dyDescent="0.2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c r="AZ333" s="1"/>
    </row>
    <row r="334" spans="1:52" x14ac:dyDescent="0.2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row>
    <row r="335" spans="1:52" x14ac:dyDescent="0.2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c r="AZ335" s="1"/>
    </row>
    <row r="336" spans="1:52" x14ac:dyDescent="0.2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row>
    <row r="337" spans="1:52" x14ac:dyDescent="0.2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row>
    <row r="338" spans="1:52" x14ac:dyDescent="0.2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row>
    <row r="339" spans="1:52" x14ac:dyDescent="0.2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row>
    <row r="340" spans="1:52" x14ac:dyDescent="0.2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row>
    <row r="341" spans="1:52" x14ac:dyDescent="0.2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row>
    <row r="342" spans="1:52" x14ac:dyDescent="0.2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row>
    <row r="343" spans="1:52" x14ac:dyDescent="0.2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row>
    <row r="344" spans="1:52" x14ac:dyDescent="0.2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c r="AZ344" s="1"/>
    </row>
    <row r="345" spans="1:52" x14ac:dyDescent="0.2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row>
    <row r="346" spans="1:52" x14ac:dyDescent="0.2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row>
    <row r="347" spans="1:52" x14ac:dyDescent="0.2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c r="AZ347" s="1"/>
    </row>
    <row r="348" spans="1:52" x14ac:dyDescent="0.2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c r="AZ348" s="1"/>
    </row>
    <row r="349" spans="1:52" x14ac:dyDescent="0.2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c r="AZ349" s="1"/>
    </row>
    <row r="350" spans="1:52" x14ac:dyDescent="0.2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c r="AZ350" s="1"/>
    </row>
    <row r="351" spans="1:52" x14ac:dyDescent="0.2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c r="AZ351" s="1"/>
    </row>
    <row r="352" spans="1:52" x14ac:dyDescent="0.2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c r="AZ352" s="1"/>
    </row>
    <row r="353" spans="1:52" x14ac:dyDescent="0.2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c r="AZ353" s="1"/>
    </row>
    <row r="354" spans="1:52" x14ac:dyDescent="0.2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c r="AZ354" s="1"/>
    </row>
    <row r="355" spans="1:52" x14ac:dyDescent="0.2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c r="AZ355" s="1"/>
    </row>
    <row r="356" spans="1:52" x14ac:dyDescent="0.2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c r="AZ356" s="1"/>
    </row>
    <row r="357" spans="1:52" x14ac:dyDescent="0.2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c r="AZ357" s="1"/>
    </row>
    <row r="358" spans="1:52" x14ac:dyDescent="0.2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c r="AZ358" s="1"/>
    </row>
    <row r="359" spans="1:52" x14ac:dyDescent="0.2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c r="AZ359" s="1"/>
    </row>
    <row r="360" spans="1:52" x14ac:dyDescent="0.2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c r="AZ360" s="1"/>
    </row>
    <row r="361" spans="1:52" x14ac:dyDescent="0.2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c r="AZ361" s="1"/>
    </row>
    <row r="362" spans="1:52" x14ac:dyDescent="0.2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c r="AZ362" s="1"/>
    </row>
    <row r="363" spans="1:52" x14ac:dyDescent="0.2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c r="AZ363" s="1"/>
    </row>
    <row r="364" spans="1:52" x14ac:dyDescent="0.2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c r="AZ364" s="1"/>
    </row>
    <row r="365" spans="1:52" x14ac:dyDescent="0.2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c r="AZ365" s="1"/>
    </row>
    <row r="366" spans="1:52" x14ac:dyDescent="0.2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c r="AZ366" s="1"/>
    </row>
    <row r="367" spans="1:52" x14ac:dyDescent="0.2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c r="AZ367" s="1"/>
    </row>
    <row r="368" spans="1:52" x14ac:dyDescent="0.2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c r="AZ368" s="1"/>
    </row>
    <row r="369" spans="1:52" x14ac:dyDescent="0.2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c r="AZ369" s="1"/>
    </row>
    <row r="370" spans="1:52" x14ac:dyDescent="0.2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c r="AZ370" s="1"/>
    </row>
    <row r="371" spans="1:52" x14ac:dyDescent="0.2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c r="AZ371" s="1"/>
    </row>
    <row r="372" spans="1:52" x14ac:dyDescent="0.2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c r="AZ372" s="1"/>
    </row>
    <row r="373" spans="1:52" x14ac:dyDescent="0.2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c r="AZ373" s="1"/>
    </row>
    <row r="374" spans="1:52" x14ac:dyDescent="0.2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c r="AZ374" s="1"/>
    </row>
    <row r="375" spans="1:52" x14ac:dyDescent="0.2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c r="AZ375" s="1"/>
    </row>
    <row r="376" spans="1:52" x14ac:dyDescent="0.2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c r="AZ376" s="1"/>
    </row>
    <row r="377" spans="1:52" x14ac:dyDescent="0.2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c r="AZ377" s="1"/>
    </row>
    <row r="378" spans="1:52" x14ac:dyDescent="0.2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c r="AZ378" s="1"/>
    </row>
    <row r="379" spans="1:52" x14ac:dyDescent="0.2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c r="AZ379" s="1"/>
    </row>
    <row r="380" spans="1:52" x14ac:dyDescent="0.2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row>
    <row r="381" spans="1:52" x14ac:dyDescent="0.2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c r="AZ381" s="1"/>
    </row>
    <row r="382" spans="1:52" x14ac:dyDescent="0.2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row>
    <row r="383" spans="1:52" x14ac:dyDescent="0.2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c r="AZ383" s="1"/>
    </row>
    <row r="384" spans="1:52" x14ac:dyDescent="0.2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c r="AZ384" s="1"/>
    </row>
    <row r="385" spans="1:52" x14ac:dyDescent="0.2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c r="AZ385" s="1"/>
    </row>
    <row r="386" spans="1:52" x14ac:dyDescent="0.2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c r="AZ386" s="1"/>
    </row>
    <row r="387" spans="1:52" x14ac:dyDescent="0.2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c r="AZ387" s="1"/>
    </row>
    <row r="388" spans="1:52" x14ac:dyDescent="0.2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c r="AZ388" s="1"/>
    </row>
    <row r="389" spans="1:52" x14ac:dyDescent="0.2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c r="AZ389" s="1"/>
    </row>
    <row r="390" spans="1:52" x14ac:dyDescent="0.2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c r="AZ390" s="1"/>
    </row>
    <row r="391" spans="1:52" x14ac:dyDescent="0.2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c r="AZ391" s="1"/>
    </row>
    <row r="392" spans="1:52" x14ac:dyDescent="0.2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row>
    <row r="393" spans="1:52" x14ac:dyDescent="0.2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c r="AZ393" s="1"/>
    </row>
    <row r="394" spans="1:52" x14ac:dyDescent="0.2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c r="AZ394" s="1"/>
    </row>
    <row r="395" spans="1:52" x14ac:dyDescent="0.2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c r="AZ395" s="1"/>
    </row>
    <row r="396" spans="1:52" x14ac:dyDescent="0.2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c r="AZ396" s="1"/>
    </row>
    <row r="397" spans="1:52" x14ac:dyDescent="0.2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c r="AZ397" s="1"/>
    </row>
    <row r="398" spans="1:52" x14ac:dyDescent="0.2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c r="AZ398" s="1"/>
    </row>
    <row r="399" spans="1:52" x14ac:dyDescent="0.2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c r="AZ399" s="1"/>
    </row>
    <row r="400" spans="1:52" x14ac:dyDescent="0.2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c r="AZ400" s="1"/>
    </row>
    <row r="401" spans="1:52" x14ac:dyDescent="0.2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c r="AZ401" s="1"/>
    </row>
    <row r="402" spans="1:52" x14ac:dyDescent="0.2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c r="AZ402" s="1"/>
    </row>
    <row r="403" spans="1:52" x14ac:dyDescent="0.2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c r="AZ403" s="1"/>
    </row>
    <row r="404" spans="1:52" x14ac:dyDescent="0.2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c r="AZ404" s="1"/>
    </row>
    <row r="405" spans="1:52" x14ac:dyDescent="0.2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c r="AZ405" s="1"/>
    </row>
    <row r="406" spans="1:52" x14ac:dyDescent="0.2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c r="AZ406" s="1"/>
    </row>
    <row r="407" spans="1:52" x14ac:dyDescent="0.2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c r="AZ407" s="1"/>
    </row>
    <row r="408" spans="1:52" x14ac:dyDescent="0.2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c r="AZ408" s="1"/>
    </row>
    <row r="409" spans="1:52" x14ac:dyDescent="0.2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c r="AZ409" s="1"/>
    </row>
    <row r="410" spans="1:52" x14ac:dyDescent="0.2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c r="AZ410" s="1"/>
    </row>
    <row r="411" spans="1:52" x14ac:dyDescent="0.2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c r="AZ411" s="1"/>
    </row>
    <row r="412" spans="1:52" x14ac:dyDescent="0.2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c r="AZ412" s="1"/>
    </row>
    <row r="413" spans="1:52" x14ac:dyDescent="0.2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c r="AZ413" s="1"/>
    </row>
    <row r="414" spans="1:52" x14ac:dyDescent="0.2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c r="AZ414" s="1"/>
    </row>
    <row r="415" spans="1:52" x14ac:dyDescent="0.2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c r="AZ415" s="1"/>
    </row>
    <row r="416" spans="1:52" x14ac:dyDescent="0.2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c r="AZ416" s="1"/>
    </row>
    <row r="417" spans="1:52" x14ac:dyDescent="0.2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c r="AZ417" s="1"/>
    </row>
    <row r="418" spans="1:52" x14ac:dyDescent="0.2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row>
    <row r="419" spans="1:52" x14ac:dyDescent="0.2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row>
    <row r="420" spans="1:52" x14ac:dyDescent="0.2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row>
    <row r="421" spans="1:52" x14ac:dyDescent="0.2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c r="AZ421" s="1"/>
    </row>
    <row r="422" spans="1:52" x14ac:dyDescent="0.2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c r="AZ422" s="1"/>
    </row>
    <row r="423" spans="1:52" x14ac:dyDescent="0.2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c r="AZ423" s="1"/>
    </row>
    <row r="424" spans="1:52" x14ac:dyDescent="0.2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c r="AZ424" s="1"/>
    </row>
    <row r="425" spans="1:52" x14ac:dyDescent="0.2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c r="AZ425" s="1"/>
    </row>
    <row r="426" spans="1:52" x14ac:dyDescent="0.2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c r="AZ426" s="1"/>
    </row>
    <row r="427" spans="1:52" x14ac:dyDescent="0.2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c r="AZ427" s="1"/>
    </row>
    <row r="428" spans="1:52" x14ac:dyDescent="0.2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c r="AZ428" s="1"/>
    </row>
    <row r="429" spans="1:52" x14ac:dyDescent="0.2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c r="AZ429" s="1"/>
    </row>
    <row r="430" spans="1:52" x14ac:dyDescent="0.2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c r="AZ430" s="1"/>
    </row>
    <row r="431" spans="1:52" x14ac:dyDescent="0.2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c r="AZ431" s="1"/>
    </row>
    <row r="432" spans="1:52" x14ac:dyDescent="0.2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c r="AZ432" s="1"/>
    </row>
    <row r="433" spans="1:52" x14ac:dyDescent="0.2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c r="AZ433" s="1"/>
    </row>
    <row r="434" spans="1:52" x14ac:dyDescent="0.2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c r="AZ434" s="1"/>
    </row>
    <row r="435" spans="1:52" x14ac:dyDescent="0.2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c r="AZ435" s="1"/>
    </row>
    <row r="436" spans="1:52" x14ac:dyDescent="0.2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c r="AZ436" s="1"/>
    </row>
    <row r="437" spans="1:52" x14ac:dyDescent="0.2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c r="AZ437" s="1"/>
    </row>
    <row r="438" spans="1:52" x14ac:dyDescent="0.2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c r="AZ438" s="1"/>
    </row>
    <row r="439" spans="1:52" x14ac:dyDescent="0.2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c r="AZ439" s="1"/>
    </row>
    <row r="440" spans="1:52" x14ac:dyDescent="0.2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c r="AZ440" s="1"/>
    </row>
    <row r="441" spans="1:52" x14ac:dyDescent="0.2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c r="AZ441" s="1"/>
    </row>
    <row r="442" spans="1:52" x14ac:dyDescent="0.2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c r="AZ442" s="1"/>
    </row>
    <row r="443" spans="1:52" x14ac:dyDescent="0.2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c r="AZ443" s="1"/>
    </row>
    <row r="444" spans="1:52" x14ac:dyDescent="0.2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c r="AZ444" s="1"/>
    </row>
    <row r="445" spans="1:52" x14ac:dyDescent="0.2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c r="AZ445" s="1"/>
    </row>
    <row r="446" spans="1:52" x14ac:dyDescent="0.2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c r="AZ446" s="1"/>
    </row>
    <row r="447" spans="1:52" x14ac:dyDescent="0.2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c r="AZ447" s="1"/>
    </row>
    <row r="448" spans="1:52" x14ac:dyDescent="0.2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c r="AZ448" s="1"/>
    </row>
    <row r="449" spans="1:52" x14ac:dyDescent="0.2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c r="AZ449" s="1"/>
    </row>
    <row r="450" spans="1:52" x14ac:dyDescent="0.2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c r="AZ450" s="1"/>
    </row>
    <row r="451" spans="1:52" x14ac:dyDescent="0.2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c r="AZ451" s="1"/>
    </row>
    <row r="452" spans="1:52" x14ac:dyDescent="0.2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c r="AZ452" s="1"/>
    </row>
    <row r="453" spans="1:52" x14ac:dyDescent="0.2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c r="AZ453" s="1"/>
    </row>
    <row r="454" spans="1:52" x14ac:dyDescent="0.2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c r="AZ454" s="1"/>
    </row>
    <row r="455" spans="1:52" x14ac:dyDescent="0.2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c r="AZ455" s="1"/>
    </row>
    <row r="456" spans="1:52" x14ac:dyDescent="0.2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c r="AZ456" s="1"/>
    </row>
    <row r="457" spans="1:52" x14ac:dyDescent="0.2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c r="AZ457" s="1"/>
    </row>
    <row r="458" spans="1:52" x14ac:dyDescent="0.2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c r="AZ458" s="1"/>
    </row>
    <row r="459" spans="1:52" x14ac:dyDescent="0.2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c r="AZ459" s="1"/>
    </row>
    <row r="460" spans="1:52" x14ac:dyDescent="0.2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c r="AZ460" s="1"/>
    </row>
    <row r="461" spans="1:52" x14ac:dyDescent="0.2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c r="AZ461" s="1"/>
    </row>
    <row r="462" spans="1:52" x14ac:dyDescent="0.2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c r="AZ462" s="1"/>
    </row>
    <row r="463" spans="1:52" x14ac:dyDescent="0.2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c r="AZ463" s="1"/>
    </row>
    <row r="464" spans="1:52" x14ac:dyDescent="0.2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c r="AZ464" s="1"/>
    </row>
    <row r="465" spans="1:52" x14ac:dyDescent="0.2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c r="AZ465" s="1"/>
    </row>
    <row r="466" spans="1:52" x14ac:dyDescent="0.2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c r="AZ466" s="1"/>
    </row>
    <row r="467" spans="1:52" x14ac:dyDescent="0.2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c r="AZ467" s="1"/>
    </row>
    <row r="468" spans="1:52" x14ac:dyDescent="0.2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c r="AZ468" s="1"/>
    </row>
    <row r="469" spans="1:52" x14ac:dyDescent="0.2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c r="AZ469" s="1"/>
    </row>
    <row r="470" spans="1:52" x14ac:dyDescent="0.2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c r="AZ470" s="1"/>
    </row>
    <row r="471" spans="1:52" x14ac:dyDescent="0.2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c r="AZ471" s="1"/>
    </row>
    <row r="472" spans="1:52" x14ac:dyDescent="0.2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c r="AZ472" s="1"/>
    </row>
    <row r="473" spans="1:52" x14ac:dyDescent="0.2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c r="AZ473" s="1"/>
    </row>
    <row r="474" spans="1:52" x14ac:dyDescent="0.2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c r="AZ474" s="1"/>
    </row>
    <row r="475" spans="1:52" x14ac:dyDescent="0.2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c r="AZ475" s="1"/>
    </row>
    <row r="476" spans="1:52" x14ac:dyDescent="0.2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c r="AZ476" s="1"/>
    </row>
    <row r="477" spans="1:52" x14ac:dyDescent="0.2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c r="AZ477" s="1"/>
    </row>
    <row r="478" spans="1:52" x14ac:dyDescent="0.2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c r="AZ478" s="1"/>
    </row>
    <row r="479" spans="1:52" x14ac:dyDescent="0.2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c r="AZ479" s="1"/>
    </row>
    <row r="480" spans="1:52" x14ac:dyDescent="0.2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c r="AZ480" s="1"/>
    </row>
    <row r="481" spans="1:52" x14ac:dyDescent="0.2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c r="AZ481" s="1"/>
    </row>
    <row r="482" spans="1:52" x14ac:dyDescent="0.2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c r="AZ482" s="1"/>
    </row>
    <row r="483" spans="1:52" x14ac:dyDescent="0.2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c r="AZ483" s="1"/>
    </row>
    <row r="484" spans="1:52" x14ac:dyDescent="0.2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c r="AZ484" s="1"/>
    </row>
    <row r="485" spans="1:52" x14ac:dyDescent="0.2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c r="AZ485" s="1"/>
    </row>
    <row r="486" spans="1:52" x14ac:dyDescent="0.2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c r="AZ486" s="1"/>
    </row>
    <row r="487" spans="1:52" x14ac:dyDescent="0.2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c r="AZ487" s="1"/>
    </row>
    <row r="488" spans="1:52" x14ac:dyDescent="0.2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c r="AZ488" s="1"/>
    </row>
    <row r="489" spans="1:52" x14ac:dyDescent="0.2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c r="AZ489" s="1"/>
    </row>
    <row r="490" spans="1:52" x14ac:dyDescent="0.2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c r="AZ490" s="1"/>
    </row>
    <row r="491" spans="1:52" x14ac:dyDescent="0.2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c r="AZ491" s="1"/>
    </row>
    <row r="492" spans="1:52" x14ac:dyDescent="0.2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c r="AZ492" s="1"/>
    </row>
    <row r="493" spans="1:52" x14ac:dyDescent="0.2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c r="AZ493" s="1"/>
    </row>
    <row r="494" spans="1:52" x14ac:dyDescent="0.2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c r="AZ494" s="1"/>
    </row>
    <row r="495" spans="1:52" x14ac:dyDescent="0.2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c r="AZ495" s="1"/>
    </row>
    <row r="496" spans="1:52" x14ac:dyDescent="0.2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c r="AZ496" s="1"/>
    </row>
    <row r="497" spans="1:52" x14ac:dyDescent="0.2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c r="AZ497" s="1"/>
    </row>
    <row r="498" spans="1:52" x14ac:dyDescent="0.2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c r="AZ498" s="1"/>
    </row>
    <row r="499" spans="1:52" x14ac:dyDescent="0.2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c r="AZ499" s="1"/>
    </row>
    <row r="500" spans="1:52" x14ac:dyDescent="0.2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c r="AZ500" s="1"/>
    </row>
    <row r="501" spans="1:52" x14ac:dyDescent="0.2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c r="AZ501" s="1"/>
    </row>
    <row r="502" spans="1:52" x14ac:dyDescent="0.2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c r="AZ502" s="1"/>
    </row>
    <row r="503" spans="1:52" x14ac:dyDescent="0.2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c r="AZ503" s="1"/>
    </row>
    <row r="504" spans="1:52" x14ac:dyDescent="0.2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c r="AZ504" s="1"/>
    </row>
    <row r="505" spans="1:52" x14ac:dyDescent="0.2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c r="AZ505" s="1"/>
    </row>
    <row r="506" spans="1:52" x14ac:dyDescent="0.2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c r="AZ506" s="1"/>
    </row>
    <row r="507" spans="1:52" x14ac:dyDescent="0.2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c r="AZ507" s="1"/>
    </row>
    <row r="508" spans="1:52" x14ac:dyDescent="0.2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c r="AZ508" s="1"/>
    </row>
    <row r="509" spans="1:52" x14ac:dyDescent="0.2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c r="AZ509" s="1"/>
    </row>
    <row r="510" spans="1:52" x14ac:dyDescent="0.2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c r="AZ510" s="1"/>
    </row>
    <row r="511" spans="1:52" x14ac:dyDescent="0.2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c r="AZ511" s="1"/>
    </row>
    <row r="512" spans="1:52" x14ac:dyDescent="0.2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c r="AZ512" s="1"/>
    </row>
    <row r="513" spans="1:52" x14ac:dyDescent="0.2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c r="AZ513" s="1"/>
    </row>
    <row r="514" spans="1:52" x14ac:dyDescent="0.2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c r="AZ514" s="1"/>
    </row>
    <row r="515" spans="1:52" x14ac:dyDescent="0.2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c r="AZ515" s="1"/>
    </row>
    <row r="516" spans="1:52" x14ac:dyDescent="0.2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c r="AZ516" s="1"/>
    </row>
    <row r="517" spans="1:52" x14ac:dyDescent="0.2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c r="AZ517" s="1"/>
    </row>
    <row r="518" spans="1:52" x14ac:dyDescent="0.2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c r="AZ518" s="1"/>
    </row>
    <row r="519" spans="1:52" x14ac:dyDescent="0.2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c r="AZ519" s="1"/>
    </row>
    <row r="520" spans="1:52" x14ac:dyDescent="0.2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c r="AZ520" s="1"/>
    </row>
    <row r="521" spans="1:52" x14ac:dyDescent="0.2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c r="AZ521" s="1"/>
    </row>
    <row r="522" spans="1:52" x14ac:dyDescent="0.2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c r="AZ522" s="1"/>
    </row>
    <row r="523" spans="1:52" x14ac:dyDescent="0.2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c r="AZ523" s="1"/>
    </row>
    <row r="524" spans="1:52" x14ac:dyDescent="0.2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c r="AZ524" s="1"/>
    </row>
    <row r="525" spans="1:52" x14ac:dyDescent="0.2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c r="AZ525" s="1"/>
    </row>
    <row r="526" spans="1:52" x14ac:dyDescent="0.2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c r="AZ526" s="1"/>
    </row>
    <row r="527" spans="1:52" x14ac:dyDescent="0.2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c r="AZ527" s="1"/>
    </row>
    <row r="528" spans="1:52" x14ac:dyDescent="0.2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c r="AZ528" s="1"/>
    </row>
    <row r="529" spans="1:52" x14ac:dyDescent="0.2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c r="AZ529" s="1"/>
    </row>
    <row r="530" spans="1:52" x14ac:dyDescent="0.2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c r="AZ530" s="1"/>
    </row>
    <row r="531" spans="1:52" x14ac:dyDescent="0.2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c r="AZ531" s="1"/>
    </row>
    <row r="532" spans="1:52" x14ac:dyDescent="0.2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c r="AZ532" s="1"/>
    </row>
    <row r="533" spans="1:52" x14ac:dyDescent="0.2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c r="AZ533" s="1"/>
    </row>
    <row r="534" spans="1:52" x14ac:dyDescent="0.2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c r="AZ534" s="1"/>
    </row>
    <row r="535" spans="1:52" x14ac:dyDescent="0.2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c r="AZ535" s="1"/>
    </row>
    <row r="536" spans="1:52" x14ac:dyDescent="0.2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c r="AZ536" s="1"/>
    </row>
    <row r="537" spans="1:52" x14ac:dyDescent="0.2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c r="AZ537" s="1"/>
    </row>
    <row r="538" spans="1:52" x14ac:dyDescent="0.2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c r="AZ538" s="1"/>
    </row>
    <row r="539" spans="1:52" x14ac:dyDescent="0.2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c r="AZ539" s="1"/>
    </row>
    <row r="540" spans="1:52" x14ac:dyDescent="0.2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c r="AZ540" s="1"/>
    </row>
    <row r="541" spans="1:52" x14ac:dyDescent="0.2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c r="AZ541" s="1"/>
    </row>
    <row r="542" spans="1:52" x14ac:dyDescent="0.2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c r="AZ542" s="1"/>
    </row>
    <row r="543" spans="1:52" x14ac:dyDescent="0.2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c r="AZ543" s="1"/>
    </row>
    <row r="544" spans="1:52" x14ac:dyDescent="0.2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c r="AZ544" s="1"/>
    </row>
    <row r="545" spans="1:52" x14ac:dyDescent="0.2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c r="AZ545" s="1"/>
    </row>
    <row r="546" spans="1:52" x14ac:dyDescent="0.2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c r="AZ546" s="1"/>
    </row>
    <row r="547" spans="1:52" x14ac:dyDescent="0.2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c r="AZ547" s="1"/>
    </row>
    <row r="548" spans="1:52" x14ac:dyDescent="0.2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c r="AZ548" s="1"/>
    </row>
    <row r="549" spans="1:52" x14ac:dyDescent="0.2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c r="AZ549" s="1"/>
    </row>
    <row r="550" spans="1:52" x14ac:dyDescent="0.2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c r="AZ550" s="1"/>
    </row>
    <row r="551" spans="1:52" x14ac:dyDescent="0.2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c r="AZ551" s="1"/>
    </row>
    <row r="552" spans="1:52" x14ac:dyDescent="0.2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c r="AZ552" s="1"/>
    </row>
    <row r="553" spans="1:52" x14ac:dyDescent="0.2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c r="AZ553" s="1"/>
    </row>
    <row r="554" spans="1:52" x14ac:dyDescent="0.2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c r="AZ554" s="1"/>
    </row>
    <row r="555" spans="1:52" x14ac:dyDescent="0.2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c r="AZ555" s="1"/>
    </row>
    <row r="556" spans="1:52" x14ac:dyDescent="0.2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c r="AZ556" s="1"/>
    </row>
    <row r="557" spans="1:52" x14ac:dyDescent="0.2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c r="AZ557" s="1"/>
    </row>
    <row r="558" spans="1:52" x14ac:dyDescent="0.2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c r="AZ558" s="1"/>
    </row>
    <row r="559" spans="1:52" x14ac:dyDescent="0.2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c r="AZ559" s="1"/>
    </row>
    <row r="560" spans="1:52" x14ac:dyDescent="0.2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c r="AZ560" s="1"/>
    </row>
    <row r="561" spans="1:52" x14ac:dyDescent="0.2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c r="AZ561" s="1"/>
    </row>
    <row r="562" spans="1:52" x14ac:dyDescent="0.2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c r="AZ562" s="1"/>
    </row>
    <row r="563" spans="1:52" x14ac:dyDescent="0.2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c r="AZ563" s="1"/>
    </row>
    <row r="564" spans="1:52" x14ac:dyDescent="0.2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c r="AZ564" s="1"/>
    </row>
    <row r="565" spans="1:52" x14ac:dyDescent="0.2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c r="AZ565" s="1"/>
    </row>
    <row r="566" spans="1:52" x14ac:dyDescent="0.2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c r="AZ566" s="1"/>
    </row>
    <row r="567" spans="1:52" x14ac:dyDescent="0.2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c r="AZ567" s="1"/>
    </row>
    <row r="568" spans="1:52" x14ac:dyDescent="0.2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c r="AZ568" s="1"/>
    </row>
    <row r="569" spans="1:52" x14ac:dyDescent="0.2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c r="AZ569" s="1"/>
    </row>
    <row r="570" spans="1:52" x14ac:dyDescent="0.2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c r="AZ570" s="1"/>
    </row>
    <row r="571" spans="1:52" x14ac:dyDescent="0.2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c r="AZ571" s="1"/>
    </row>
    <row r="572" spans="1:52" x14ac:dyDescent="0.2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c r="AZ572" s="1"/>
    </row>
    <row r="573" spans="1:52" x14ac:dyDescent="0.2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c r="AZ573" s="1"/>
    </row>
    <row r="574" spans="1:52" x14ac:dyDescent="0.2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c r="AZ574" s="1"/>
    </row>
    <row r="575" spans="1:52" x14ac:dyDescent="0.2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c r="AZ575" s="1"/>
    </row>
    <row r="576" spans="1:52" x14ac:dyDescent="0.2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c r="AZ576" s="1"/>
    </row>
    <row r="577" spans="1:52" x14ac:dyDescent="0.2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c r="AZ577" s="1"/>
    </row>
    <row r="578" spans="1:52" x14ac:dyDescent="0.2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c r="AZ578" s="1"/>
    </row>
    <row r="579" spans="1:52" x14ac:dyDescent="0.2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c r="AZ579" s="1"/>
    </row>
    <row r="580" spans="1:52" x14ac:dyDescent="0.2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c r="AZ580" s="1"/>
    </row>
    <row r="581" spans="1:52" x14ac:dyDescent="0.2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c r="AZ581" s="1"/>
    </row>
    <row r="582" spans="1:52" x14ac:dyDescent="0.2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c r="AZ582" s="1"/>
    </row>
    <row r="583" spans="1:52" x14ac:dyDescent="0.2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c r="AZ583" s="1"/>
    </row>
    <row r="584" spans="1:52" x14ac:dyDescent="0.2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c r="AZ584" s="1"/>
    </row>
    <row r="585" spans="1:52" x14ac:dyDescent="0.2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c r="AZ585" s="1"/>
    </row>
    <row r="586" spans="1:52" x14ac:dyDescent="0.2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c r="AZ586" s="1"/>
    </row>
    <row r="587" spans="1:52" x14ac:dyDescent="0.2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c r="AZ587" s="1"/>
    </row>
    <row r="588" spans="1:52" x14ac:dyDescent="0.2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c r="AZ588" s="1"/>
    </row>
    <row r="589" spans="1:52" x14ac:dyDescent="0.2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c r="AZ589" s="1"/>
    </row>
    <row r="590" spans="1:52" x14ac:dyDescent="0.2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c r="AZ590" s="1"/>
    </row>
    <row r="591" spans="1:52" x14ac:dyDescent="0.2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c r="AZ591" s="1"/>
    </row>
    <row r="592" spans="1:52" x14ac:dyDescent="0.2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c r="AZ592" s="1"/>
    </row>
    <row r="593" spans="1:52" x14ac:dyDescent="0.2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c r="AZ593" s="1"/>
    </row>
    <row r="594" spans="1:52" x14ac:dyDescent="0.2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c r="AZ594" s="1"/>
    </row>
    <row r="595" spans="1:52" x14ac:dyDescent="0.2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c r="AZ595" s="1"/>
    </row>
    <row r="596" spans="1:52" x14ac:dyDescent="0.2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c r="AZ596" s="1"/>
    </row>
    <row r="597" spans="1:52" x14ac:dyDescent="0.2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c r="AZ597" s="1"/>
    </row>
    <row r="598" spans="1:52" x14ac:dyDescent="0.2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c r="AZ598" s="1"/>
    </row>
    <row r="599" spans="1:52" x14ac:dyDescent="0.2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c r="AZ599" s="1"/>
    </row>
    <row r="600" spans="1:52" x14ac:dyDescent="0.2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c r="AZ600" s="1"/>
    </row>
    <row r="601" spans="1:52" x14ac:dyDescent="0.2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c r="AZ601" s="1"/>
    </row>
    <row r="602" spans="1:52" x14ac:dyDescent="0.2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c r="AZ602" s="1"/>
    </row>
    <row r="603" spans="1:52" x14ac:dyDescent="0.2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c r="AZ603" s="1"/>
    </row>
    <row r="604" spans="1:52" x14ac:dyDescent="0.2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c r="AZ604" s="1"/>
    </row>
    <row r="605" spans="1:52" x14ac:dyDescent="0.2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c r="AZ605" s="1"/>
    </row>
    <row r="606" spans="1:52" x14ac:dyDescent="0.2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c r="AZ606" s="1"/>
    </row>
    <row r="607" spans="1:52" x14ac:dyDescent="0.2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c r="AZ607" s="1"/>
    </row>
    <row r="608" spans="1:52" x14ac:dyDescent="0.2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c r="AZ608" s="1"/>
    </row>
    <row r="609" spans="1:52" x14ac:dyDescent="0.2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c r="AZ609" s="1"/>
    </row>
    <row r="610" spans="1:52" x14ac:dyDescent="0.2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c r="AZ610" s="1"/>
    </row>
    <row r="611" spans="1:52" x14ac:dyDescent="0.2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c r="AZ611" s="1"/>
    </row>
    <row r="612" spans="1:52" x14ac:dyDescent="0.2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c r="AZ612" s="1"/>
    </row>
    <row r="613" spans="1:52" x14ac:dyDescent="0.2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c r="AZ613" s="1"/>
    </row>
    <row r="614" spans="1:52" x14ac:dyDescent="0.2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c r="AZ614" s="1"/>
    </row>
    <row r="615" spans="1:52" x14ac:dyDescent="0.2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c r="AZ615" s="1"/>
    </row>
    <row r="616" spans="1:52" x14ac:dyDescent="0.2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c r="AZ616" s="1"/>
    </row>
    <row r="617" spans="1:52" x14ac:dyDescent="0.2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c r="AZ617" s="1"/>
    </row>
    <row r="618" spans="1:52" x14ac:dyDescent="0.2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c r="AZ618" s="1"/>
    </row>
    <row r="619" spans="1:52" x14ac:dyDescent="0.2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c r="AZ619" s="1"/>
    </row>
    <row r="620" spans="1:52" x14ac:dyDescent="0.2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c r="AZ620" s="1"/>
    </row>
    <row r="621" spans="1:52" x14ac:dyDescent="0.2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c r="AZ621" s="1"/>
    </row>
    <row r="622" spans="1:52" x14ac:dyDescent="0.2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c r="AZ622" s="1"/>
    </row>
    <row r="623" spans="1:52" x14ac:dyDescent="0.2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c r="AZ623" s="1"/>
    </row>
    <row r="624" spans="1:52" x14ac:dyDescent="0.2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c r="AZ624" s="1"/>
    </row>
    <row r="625" spans="1:52" x14ac:dyDescent="0.2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c r="AZ625" s="1"/>
    </row>
    <row r="626" spans="1:52" x14ac:dyDescent="0.2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c r="AZ626" s="1"/>
    </row>
    <row r="627" spans="1:52" x14ac:dyDescent="0.2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c r="AZ627" s="1"/>
    </row>
    <row r="628" spans="1:52" x14ac:dyDescent="0.2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c r="AZ628" s="1"/>
    </row>
    <row r="629" spans="1:52" x14ac:dyDescent="0.2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c r="AZ629" s="1"/>
    </row>
    <row r="630" spans="1:52" x14ac:dyDescent="0.2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c r="AZ630" s="1"/>
    </row>
    <row r="631" spans="1:52" x14ac:dyDescent="0.2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c r="AZ631" s="1"/>
    </row>
    <row r="632" spans="1:52" x14ac:dyDescent="0.2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c r="AZ632" s="1"/>
    </row>
    <row r="633" spans="1:52" x14ac:dyDescent="0.2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c r="AZ633" s="1"/>
    </row>
    <row r="634" spans="1:52" x14ac:dyDescent="0.2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c r="AZ634" s="1"/>
    </row>
    <row r="635" spans="1:52" x14ac:dyDescent="0.2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c r="AZ635" s="1"/>
    </row>
    <row r="636" spans="1:52" x14ac:dyDescent="0.2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c r="AZ636" s="1"/>
    </row>
    <row r="637" spans="1:52" x14ac:dyDescent="0.2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c r="AZ637" s="1"/>
    </row>
    <row r="638" spans="1:52" x14ac:dyDescent="0.2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c r="AZ638" s="1"/>
    </row>
    <row r="639" spans="1:52" x14ac:dyDescent="0.2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c r="AZ639" s="1"/>
    </row>
    <row r="640" spans="1:52" x14ac:dyDescent="0.2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c r="AZ640" s="1"/>
    </row>
    <row r="641" spans="1:52" x14ac:dyDescent="0.2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c r="AZ641" s="1"/>
    </row>
    <row r="642" spans="1:52" x14ac:dyDescent="0.2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c r="AZ642" s="1"/>
    </row>
    <row r="643" spans="1:52" x14ac:dyDescent="0.2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c r="AZ643" s="1"/>
    </row>
    <row r="644" spans="1:52" x14ac:dyDescent="0.2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c r="AZ644" s="1"/>
    </row>
    <row r="645" spans="1:52" x14ac:dyDescent="0.2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c r="AZ645" s="1"/>
    </row>
    <row r="646" spans="1:52" x14ac:dyDescent="0.2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c r="AZ646" s="1"/>
    </row>
    <row r="647" spans="1:52" x14ac:dyDescent="0.2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c r="AZ647" s="1"/>
    </row>
    <row r="648" spans="1:52" x14ac:dyDescent="0.2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c r="AZ648" s="1"/>
    </row>
    <row r="649" spans="1:52" x14ac:dyDescent="0.2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c r="AZ649" s="1"/>
    </row>
    <row r="650" spans="1:52" x14ac:dyDescent="0.2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c r="AZ650" s="1"/>
    </row>
    <row r="651" spans="1:52" x14ac:dyDescent="0.2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c r="AZ651" s="1"/>
    </row>
    <row r="652" spans="1:52" x14ac:dyDescent="0.2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c r="AZ652" s="1"/>
    </row>
    <row r="653" spans="1:52" x14ac:dyDescent="0.2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c r="AZ653" s="1"/>
    </row>
    <row r="654" spans="1:52" x14ac:dyDescent="0.2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c r="AZ654" s="1"/>
    </row>
    <row r="655" spans="1:52" x14ac:dyDescent="0.2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c r="AZ655" s="1"/>
    </row>
    <row r="656" spans="1:52" x14ac:dyDescent="0.2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c r="AZ656" s="1"/>
    </row>
    <row r="657" spans="1:52" x14ac:dyDescent="0.2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c r="AZ657" s="1"/>
    </row>
    <row r="658" spans="1:52" x14ac:dyDescent="0.2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c r="AZ658" s="1"/>
    </row>
    <row r="659" spans="1:52" x14ac:dyDescent="0.2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c r="AZ659" s="1"/>
    </row>
    <row r="660" spans="1:52" x14ac:dyDescent="0.2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c r="AZ660" s="1"/>
    </row>
    <row r="661" spans="1:52" x14ac:dyDescent="0.2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c r="AZ661" s="1"/>
    </row>
    <row r="662" spans="1:52" x14ac:dyDescent="0.2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c r="AZ662" s="1"/>
    </row>
    <row r="663" spans="1:52" x14ac:dyDescent="0.2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c r="AZ663" s="1"/>
    </row>
    <row r="664" spans="1:52" x14ac:dyDescent="0.2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c r="AZ664" s="1"/>
    </row>
    <row r="665" spans="1:52" x14ac:dyDescent="0.2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c r="AZ665" s="1"/>
    </row>
    <row r="666" spans="1:52" x14ac:dyDescent="0.2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c r="AZ666" s="1"/>
    </row>
    <row r="667" spans="1:52" x14ac:dyDescent="0.2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c r="AZ667" s="1"/>
    </row>
    <row r="668" spans="1:52" x14ac:dyDescent="0.2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c r="AZ668" s="1"/>
    </row>
    <row r="669" spans="1:52" x14ac:dyDescent="0.2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c r="AZ669" s="1"/>
    </row>
    <row r="670" spans="1:52" x14ac:dyDescent="0.2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c r="AZ670" s="1"/>
    </row>
    <row r="671" spans="1:52" x14ac:dyDescent="0.2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c r="AZ671" s="1"/>
    </row>
    <row r="672" spans="1:52" x14ac:dyDescent="0.2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c r="AZ672" s="1"/>
    </row>
    <row r="673" spans="1:52" x14ac:dyDescent="0.2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c r="AZ673" s="1"/>
    </row>
    <row r="674" spans="1:52" x14ac:dyDescent="0.2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c r="AZ674" s="1"/>
    </row>
    <row r="675" spans="1:52" x14ac:dyDescent="0.2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c r="AZ675" s="1"/>
    </row>
    <row r="676" spans="1:52" x14ac:dyDescent="0.2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c r="AZ676" s="1"/>
    </row>
    <row r="677" spans="1:52" x14ac:dyDescent="0.2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c r="AZ677" s="1"/>
    </row>
    <row r="678" spans="1:52" x14ac:dyDescent="0.2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c r="AZ678" s="1"/>
    </row>
    <row r="679" spans="1:52" x14ac:dyDescent="0.2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c r="AZ679" s="1"/>
    </row>
    <row r="680" spans="1:52" x14ac:dyDescent="0.2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c r="AZ680" s="1"/>
    </row>
    <row r="681" spans="1:52" x14ac:dyDescent="0.2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c r="AZ681" s="1"/>
    </row>
    <row r="682" spans="1:52" x14ac:dyDescent="0.2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c r="AZ682" s="1"/>
    </row>
    <row r="683" spans="1:52" x14ac:dyDescent="0.2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c r="AZ683" s="1"/>
    </row>
    <row r="684" spans="1:52" x14ac:dyDescent="0.2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c r="AZ684" s="1"/>
    </row>
    <row r="685" spans="1:52" x14ac:dyDescent="0.2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c r="AZ685" s="1"/>
    </row>
    <row r="686" spans="1:52" x14ac:dyDescent="0.2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c r="AZ686" s="1"/>
    </row>
    <row r="687" spans="1:52" x14ac:dyDescent="0.2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c r="AZ687" s="1"/>
    </row>
    <row r="688" spans="1:52" x14ac:dyDescent="0.2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c r="AZ688" s="1"/>
    </row>
    <row r="689" spans="1:52" x14ac:dyDescent="0.2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c r="AZ689" s="1"/>
    </row>
    <row r="690" spans="1:52" x14ac:dyDescent="0.2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c r="AZ690" s="1"/>
    </row>
    <row r="691" spans="1:52" x14ac:dyDescent="0.2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c r="AZ691" s="1"/>
    </row>
    <row r="692" spans="1:52" x14ac:dyDescent="0.2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c r="AZ692" s="1"/>
    </row>
    <row r="693" spans="1:52" x14ac:dyDescent="0.2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c r="AZ693" s="1"/>
    </row>
    <row r="694" spans="1:52" x14ac:dyDescent="0.2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c r="AZ694" s="1"/>
    </row>
    <row r="695" spans="1:52" x14ac:dyDescent="0.2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c r="AZ695" s="1"/>
    </row>
    <row r="696" spans="1:52" x14ac:dyDescent="0.2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c r="AZ696" s="1"/>
    </row>
    <row r="697" spans="1:52" x14ac:dyDescent="0.2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c r="AZ697" s="1"/>
    </row>
    <row r="698" spans="1:52" x14ac:dyDescent="0.2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c r="AZ698" s="1"/>
    </row>
    <row r="699" spans="1:52" x14ac:dyDescent="0.2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c r="AZ699" s="1"/>
    </row>
    <row r="700" spans="1:52" x14ac:dyDescent="0.2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c r="AZ700" s="1"/>
    </row>
    <row r="701" spans="1:52" x14ac:dyDescent="0.2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c r="AZ701" s="1"/>
    </row>
    <row r="702" spans="1:52" x14ac:dyDescent="0.2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c r="AZ702" s="1"/>
    </row>
    <row r="703" spans="1:52" x14ac:dyDescent="0.2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c r="AZ703" s="1"/>
    </row>
    <row r="704" spans="1:52" x14ac:dyDescent="0.2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c r="AZ704" s="1"/>
    </row>
    <row r="705" spans="1:52" x14ac:dyDescent="0.2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c r="AZ705" s="1"/>
    </row>
    <row r="706" spans="1:52" x14ac:dyDescent="0.2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c r="AZ706" s="1"/>
    </row>
    <row r="707" spans="1:52" x14ac:dyDescent="0.2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c r="AZ707" s="1"/>
    </row>
    <row r="708" spans="1:52" x14ac:dyDescent="0.2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c r="AZ708" s="1"/>
    </row>
    <row r="709" spans="1:52" x14ac:dyDescent="0.2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c r="AZ709" s="1"/>
    </row>
    <row r="710" spans="1:52" x14ac:dyDescent="0.2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c r="AZ710" s="1"/>
    </row>
    <row r="711" spans="1:52" x14ac:dyDescent="0.2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c r="AZ711" s="1"/>
    </row>
    <row r="712" spans="1:52" x14ac:dyDescent="0.2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c r="AZ712" s="1"/>
    </row>
    <row r="713" spans="1:52" x14ac:dyDescent="0.2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c r="AZ713" s="1"/>
    </row>
    <row r="714" spans="1:52" x14ac:dyDescent="0.2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c r="AZ714" s="1"/>
    </row>
    <row r="715" spans="1:52" x14ac:dyDescent="0.2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c r="AZ715" s="1"/>
    </row>
    <row r="716" spans="1:52" x14ac:dyDescent="0.2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c r="AZ716" s="1"/>
    </row>
    <row r="717" spans="1:52" x14ac:dyDescent="0.2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c r="AZ717" s="1"/>
    </row>
    <row r="718" spans="1:52" x14ac:dyDescent="0.2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c r="AZ718" s="1"/>
    </row>
    <row r="719" spans="1:52" x14ac:dyDescent="0.2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c r="AZ719" s="1"/>
    </row>
    <row r="720" spans="1:52" x14ac:dyDescent="0.2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c r="AZ720" s="1"/>
    </row>
    <row r="721" spans="1:52" x14ac:dyDescent="0.2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c r="AZ721" s="1"/>
    </row>
    <row r="722" spans="1:52" x14ac:dyDescent="0.2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c r="AZ722" s="1"/>
    </row>
    <row r="723" spans="1:52" x14ac:dyDescent="0.2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c r="AZ723" s="1"/>
    </row>
    <row r="724" spans="1:52" x14ac:dyDescent="0.2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c r="AZ724" s="1"/>
    </row>
    <row r="725" spans="1:52" x14ac:dyDescent="0.2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c r="AZ725" s="1"/>
    </row>
    <row r="726" spans="1:52" x14ac:dyDescent="0.2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c r="AZ726" s="1"/>
    </row>
    <row r="727" spans="1:52" x14ac:dyDescent="0.2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c r="AZ727" s="1"/>
    </row>
    <row r="728" spans="1:52" x14ac:dyDescent="0.2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c r="AZ728" s="1"/>
    </row>
    <row r="729" spans="1:52" x14ac:dyDescent="0.2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c r="AZ729" s="1"/>
    </row>
    <row r="730" spans="1:52" x14ac:dyDescent="0.2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c r="AZ730" s="1"/>
    </row>
    <row r="731" spans="1:52" x14ac:dyDescent="0.2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c r="AZ731" s="1"/>
    </row>
    <row r="732" spans="1:52" x14ac:dyDescent="0.2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c r="AZ732" s="1"/>
    </row>
    <row r="733" spans="1:52" x14ac:dyDescent="0.2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c r="AZ733" s="1"/>
    </row>
    <row r="734" spans="1:52" x14ac:dyDescent="0.2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c r="AZ734" s="1"/>
    </row>
    <row r="735" spans="1:52" x14ac:dyDescent="0.2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c r="AZ735" s="1"/>
    </row>
    <row r="736" spans="1:52" x14ac:dyDescent="0.2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c r="AZ736" s="1"/>
    </row>
    <row r="737" spans="1:52" x14ac:dyDescent="0.2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c r="AZ737" s="1"/>
    </row>
    <row r="738" spans="1:52" x14ac:dyDescent="0.2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c r="AZ738" s="1"/>
    </row>
    <row r="739" spans="1:52" x14ac:dyDescent="0.2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c r="AZ739" s="1"/>
    </row>
    <row r="740" spans="1:52" x14ac:dyDescent="0.2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c r="AZ740" s="1"/>
    </row>
    <row r="741" spans="1:52" x14ac:dyDescent="0.2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c r="AZ741" s="1"/>
    </row>
    <row r="742" spans="1:52" x14ac:dyDescent="0.2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c r="AZ742" s="1"/>
    </row>
    <row r="743" spans="1:52" x14ac:dyDescent="0.2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c r="AZ743" s="1"/>
    </row>
    <row r="744" spans="1:52" x14ac:dyDescent="0.2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c r="AZ744" s="1"/>
    </row>
    <row r="745" spans="1:52" x14ac:dyDescent="0.2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c r="AZ745" s="1"/>
    </row>
    <row r="746" spans="1:52" x14ac:dyDescent="0.2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c r="AZ746" s="1"/>
    </row>
    <row r="747" spans="1:52" x14ac:dyDescent="0.2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c r="AZ747" s="1"/>
    </row>
    <row r="748" spans="1:52" x14ac:dyDescent="0.2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c r="AZ748" s="1"/>
    </row>
    <row r="749" spans="1:52" x14ac:dyDescent="0.2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c r="AZ749" s="1"/>
    </row>
    <row r="750" spans="1:52" x14ac:dyDescent="0.2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c r="AZ750" s="1"/>
    </row>
    <row r="751" spans="1:52" x14ac:dyDescent="0.2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c r="AZ751" s="1"/>
    </row>
    <row r="752" spans="1:52" x14ac:dyDescent="0.2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c r="AZ752" s="1"/>
    </row>
    <row r="753" spans="1:52" x14ac:dyDescent="0.2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c r="AZ753" s="1"/>
    </row>
    <row r="754" spans="1:52" x14ac:dyDescent="0.2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c r="AZ754" s="1"/>
    </row>
    <row r="755" spans="1:52" x14ac:dyDescent="0.2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c r="AZ755" s="1"/>
    </row>
    <row r="756" spans="1:52" x14ac:dyDescent="0.2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c r="AZ756" s="1"/>
    </row>
    <row r="757" spans="1:52" x14ac:dyDescent="0.2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c r="AZ757" s="1"/>
    </row>
    <row r="758" spans="1:52" x14ac:dyDescent="0.2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c r="AZ758" s="1"/>
    </row>
    <row r="759" spans="1:52" x14ac:dyDescent="0.2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c r="AZ759" s="1"/>
    </row>
    <row r="760" spans="1:52" x14ac:dyDescent="0.2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c r="AZ760" s="1"/>
    </row>
    <row r="761" spans="1:52" x14ac:dyDescent="0.2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c r="AZ761" s="1"/>
    </row>
    <row r="762" spans="1:52" x14ac:dyDescent="0.2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c r="AZ762" s="1"/>
    </row>
    <row r="763" spans="1:52" x14ac:dyDescent="0.2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c r="AZ763" s="1"/>
    </row>
    <row r="764" spans="1:52" x14ac:dyDescent="0.2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c r="AZ764" s="1"/>
    </row>
    <row r="765" spans="1:52" x14ac:dyDescent="0.2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c r="AZ765" s="1"/>
    </row>
    <row r="766" spans="1:52" x14ac:dyDescent="0.2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c r="AZ766" s="1"/>
    </row>
    <row r="767" spans="1:52" x14ac:dyDescent="0.2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c r="AZ767" s="1"/>
    </row>
    <row r="768" spans="1:52" x14ac:dyDescent="0.2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c r="AZ768" s="1"/>
    </row>
    <row r="769" spans="1:52" x14ac:dyDescent="0.2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c r="AZ769" s="1"/>
    </row>
    <row r="770" spans="1:52" x14ac:dyDescent="0.2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c r="AZ770" s="1"/>
    </row>
    <row r="771" spans="1:52" x14ac:dyDescent="0.2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c r="AZ771" s="1"/>
    </row>
    <row r="772" spans="1:52" x14ac:dyDescent="0.2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c r="AZ772" s="1"/>
    </row>
    <row r="773" spans="1:52" x14ac:dyDescent="0.2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c r="AZ773" s="1"/>
    </row>
    <row r="774" spans="1:52" x14ac:dyDescent="0.2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c r="AZ774" s="1"/>
    </row>
    <row r="775" spans="1:52" x14ac:dyDescent="0.2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c r="AZ775" s="1"/>
    </row>
    <row r="776" spans="1:52" x14ac:dyDescent="0.2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c r="AZ776" s="1"/>
    </row>
    <row r="777" spans="1:52" x14ac:dyDescent="0.2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c r="AZ777" s="1"/>
    </row>
    <row r="778" spans="1:52" x14ac:dyDescent="0.2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c r="AZ778" s="1"/>
    </row>
    <row r="779" spans="1:52" x14ac:dyDescent="0.2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c r="AZ779" s="1"/>
    </row>
    <row r="780" spans="1:52" x14ac:dyDescent="0.2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c r="AZ780" s="1"/>
    </row>
    <row r="781" spans="1:52" x14ac:dyDescent="0.2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c r="AZ781" s="1"/>
    </row>
    <row r="782" spans="1:52" x14ac:dyDescent="0.2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c r="AZ782" s="1"/>
    </row>
    <row r="783" spans="1:52" x14ac:dyDescent="0.2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c r="AZ783" s="1"/>
    </row>
    <row r="784" spans="1:52" x14ac:dyDescent="0.2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c r="AZ784" s="1"/>
    </row>
    <row r="785" spans="1:52" x14ac:dyDescent="0.2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c r="AZ785" s="1"/>
    </row>
    <row r="786" spans="1:52" x14ac:dyDescent="0.2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c r="AZ786" s="1"/>
    </row>
    <row r="787" spans="1:52" x14ac:dyDescent="0.2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c r="AZ787" s="1"/>
    </row>
    <row r="788" spans="1:52" x14ac:dyDescent="0.2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c r="AZ788" s="1"/>
    </row>
    <row r="789" spans="1:52" x14ac:dyDescent="0.2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c r="AZ789" s="1"/>
    </row>
    <row r="790" spans="1:52" x14ac:dyDescent="0.2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c r="AZ790" s="1"/>
    </row>
    <row r="791" spans="1:52" x14ac:dyDescent="0.2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c r="AZ791" s="1"/>
    </row>
    <row r="792" spans="1:52" x14ac:dyDescent="0.2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c r="AZ792" s="1"/>
    </row>
    <row r="793" spans="1:52" x14ac:dyDescent="0.2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c r="AZ793" s="1"/>
    </row>
    <row r="794" spans="1:52" x14ac:dyDescent="0.2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c r="AZ794" s="1"/>
    </row>
    <row r="795" spans="1:52" x14ac:dyDescent="0.2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c r="AZ795" s="1"/>
    </row>
    <row r="796" spans="1:52" x14ac:dyDescent="0.2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c r="AZ796" s="1"/>
    </row>
    <row r="797" spans="1:52" x14ac:dyDescent="0.2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c r="AZ797" s="1"/>
    </row>
    <row r="798" spans="1:52" x14ac:dyDescent="0.2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c r="AZ798" s="1"/>
    </row>
    <row r="799" spans="1:52" x14ac:dyDescent="0.2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c r="AZ799" s="1"/>
    </row>
    <row r="800" spans="1:52" x14ac:dyDescent="0.2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c r="AZ800" s="1"/>
    </row>
    <row r="801" spans="1:52" x14ac:dyDescent="0.2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c r="AZ801" s="1"/>
    </row>
    <row r="802" spans="1:52" x14ac:dyDescent="0.2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c r="AZ802" s="1"/>
    </row>
    <row r="803" spans="1:52" x14ac:dyDescent="0.2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c r="AZ803" s="1"/>
    </row>
    <row r="804" spans="1:52" x14ac:dyDescent="0.2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c r="AZ804" s="1"/>
    </row>
    <row r="805" spans="1:52" x14ac:dyDescent="0.2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c r="AZ805" s="1"/>
    </row>
    <row r="806" spans="1:52" x14ac:dyDescent="0.2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c r="AZ806" s="1"/>
    </row>
    <row r="807" spans="1:52" x14ac:dyDescent="0.2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c r="AZ807" s="1"/>
    </row>
    <row r="808" spans="1:52" x14ac:dyDescent="0.2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c r="AZ808" s="1"/>
    </row>
    <row r="809" spans="1:52" x14ac:dyDescent="0.2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c r="AZ809" s="1"/>
    </row>
    <row r="810" spans="1:52" x14ac:dyDescent="0.2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c r="AZ810" s="1"/>
    </row>
    <row r="811" spans="1:52" x14ac:dyDescent="0.2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c r="AZ811" s="1"/>
    </row>
    <row r="812" spans="1:52" x14ac:dyDescent="0.2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c r="AZ812" s="1"/>
    </row>
    <row r="813" spans="1:52" x14ac:dyDescent="0.2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c r="AZ813" s="1"/>
    </row>
    <row r="814" spans="1:52" x14ac:dyDescent="0.2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c r="AZ814" s="1"/>
    </row>
    <row r="815" spans="1:52" x14ac:dyDescent="0.2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c r="AZ815" s="1"/>
    </row>
    <row r="816" spans="1:52" x14ac:dyDescent="0.2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c r="AZ816" s="1"/>
    </row>
    <row r="817" spans="1:52" x14ac:dyDescent="0.2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c r="AZ817" s="1"/>
    </row>
    <row r="818" spans="1:52" x14ac:dyDescent="0.2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c r="AZ818" s="1"/>
    </row>
    <row r="819" spans="1:52" x14ac:dyDescent="0.2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c r="AZ819" s="1"/>
    </row>
    <row r="820" spans="1:52" x14ac:dyDescent="0.2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c r="AZ820" s="1"/>
    </row>
    <row r="821" spans="1:52" x14ac:dyDescent="0.2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c r="AZ821" s="1"/>
    </row>
    <row r="822" spans="1:52" x14ac:dyDescent="0.2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c r="AZ822" s="1"/>
    </row>
    <row r="823" spans="1:52" x14ac:dyDescent="0.2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c r="AZ823" s="1"/>
    </row>
    <row r="824" spans="1:52" x14ac:dyDescent="0.2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c r="AZ824" s="1"/>
    </row>
    <row r="825" spans="1:52" x14ac:dyDescent="0.2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c r="AZ825" s="1"/>
    </row>
    <row r="826" spans="1:52" x14ac:dyDescent="0.2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c r="AZ826" s="1"/>
    </row>
    <row r="827" spans="1:52" x14ac:dyDescent="0.2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c r="AZ827" s="1"/>
    </row>
    <row r="828" spans="1:52" x14ac:dyDescent="0.2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c r="AZ828" s="1"/>
    </row>
    <row r="829" spans="1:52" x14ac:dyDescent="0.2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c r="AZ829" s="1"/>
    </row>
    <row r="830" spans="1:52" x14ac:dyDescent="0.2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c r="AZ830" s="1"/>
    </row>
    <row r="831" spans="1:52" x14ac:dyDescent="0.2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c r="AZ831" s="1"/>
    </row>
    <row r="832" spans="1:52" x14ac:dyDescent="0.2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c r="AZ832" s="1"/>
    </row>
    <row r="833" spans="1:52" x14ac:dyDescent="0.2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c r="AZ833" s="1"/>
    </row>
    <row r="834" spans="1:52" x14ac:dyDescent="0.2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c r="AZ834" s="1"/>
    </row>
    <row r="835" spans="1:52" x14ac:dyDescent="0.2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c r="AZ835" s="1"/>
    </row>
    <row r="836" spans="1:52" x14ac:dyDescent="0.2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c r="AZ836" s="1"/>
    </row>
    <row r="837" spans="1:52" x14ac:dyDescent="0.2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c r="AZ837" s="1"/>
    </row>
    <row r="838" spans="1:52" x14ac:dyDescent="0.2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c r="AZ838" s="1"/>
    </row>
    <row r="839" spans="1:52" x14ac:dyDescent="0.2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c r="AZ839" s="1"/>
    </row>
    <row r="840" spans="1:52" x14ac:dyDescent="0.2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c r="AZ840" s="1"/>
    </row>
    <row r="841" spans="1:52" x14ac:dyDescent="0.2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c r="AZ841" s="1"/>
    </row>
    <row r="842" spans="1:52" x14ac:dyDescent="0.2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c r="AZ842" s="1"/>
    </row>
    <row r="843" spans="1:52" x14ac:dyDescent="0.2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c r="AZ843" s="1"/>
    </row>
    <row r="844" spans="1:52" x14ac:dyDescent="0.2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c r="AZ844" s="1"/>
    </row>
    <row r="845" spans="1:52" x14ac:dyDescent="0.2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c r="AZ845" s="1"/>
    </row>
    <row r="846" spans="1:52" x14ac:dyDescent="0.2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c r="AZ846" s="1"/>
    </row>
    <row r="847" spans="1:52" x14ac:dyDescent="0.2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c r="AZ847" s="1"/>
    </row>
    <row r="848" spans="1:52" x14ac:dyDescent="0.2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c r="AZ848" s="1"/>
    </row>
    <row r="849" spans="1:52" x14ac:dyDescent="0.2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c r="AZ849" s="1"/>
    </row>
    <row r="850" spans="1:52" x14ac:dyDescent="0.2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c r="AZ850" s="1"/>
    </row>
    <row r="851" spans="1:52" x14ac:dyDescent="0.2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c r="AZ851" s="1"/>
    </row>
    <row r="852" spans="1:52" x14ac:dyDescent="0.2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c r="AZ852" s="1"/>
    </row>
    <row r="853" spans="1:52" x14ac:dyDescent="0.2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c r="AZ853" s="1"/>
    </row>
    <row r="854" spans="1:52" x14ac:dyDescent="0.2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c r="AZ854" s="1"/>
    </row>
    <row r="855" spans="1:52" x14ac:dyDescent="0.2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c r="AZ855" s="1"/>
    </row>
    <row r="856" spans="1:52" x14ac:dyDescent="0.2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c r="AZ856" s="1"/>
    </row>
    <row r="857" spans="1:52" x14ac:dyDescent="0.2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c r="AZ857" s="1"/>
    </row>
    <row r="858" spans="1:52" x14ac:dyDescent="0.2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c r="AZ858" s="1"/>
    </row>
    <row r="859" spans="1:52" x14ac:dyDescent="0.2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c r="AZ859" s="1"/>
    </row>
    <row r="860" spans="1:52" x14ac:dyDescent="0.2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c r="AZ860" s="1"/>
    </row>
    <row r="861" spans="1:52" x14ac:dyDescent="0.2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c r="AZ861" s="1"/>
    </row>
    <row r="862" spans="1:52" x14ac:dyDescent="0.2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c r="AZ862" s="1"/>
    </row>
    <row r="863" spans="1:52" x14ac:dyDescent="0.2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c r="AZ863" s="1"/>
    </row>
    <row r="864" spans="1:52" x14ac:dyDescent="0.2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c r="AZ864" s="1"/>
    </row>
    <row r="865" spans="1:52" x14ac:dyDescent="0.2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c r="AZ865" s="1"/>
    </row>
    <row r="866" spans="1:52" x14ac:dyDescent="0.2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c r="AZ866" s="1"/>
    </row>
    <row r="867" spans="1:52" x14ac:dyDescent="0.2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c r="AZ867" s="1"/>
    </row>
    <row r="868" spans="1:52" x14ac:dyDescent="0.2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c r="AZ868" s="1"/>
    </row>
    <row r="869" spans="1:52" x14ac:dyDescent="0.2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c r="AZ869" s="1"/>
    </row>
    <row r="870" spans="1:52" x14ac:dyDescent="0.2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c r="AZ870" s="1"/>
    </row>
    <row r="871" spans="1:52" x14ac:dyDescent="0.2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c r="AZ871" s="1"/>
    </row>
    <row r="872" spans="1:52" x14ac:dyDescent="0.2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c r="AZ872" s="1"/>
    </row>
    <row r="873" spans="1:52" x14ac:dyDescent="0.2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c r="AZ873" s="1"/>
    </row>
    <row r="874" spans="1:52" x14ac:dyDescent="0.2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c r="AZ874" s="1"/>
    </row>
    <row r="875" spans="1:52" x14ac:dyDescent="0.2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c r="AZ875" s="1"/>
    </row>
    <row r="876" spans="1:52" x14ac:dyDescent="0.2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c r="AZ876" s="1"/>
    </row>
    <row r="877" spans="1:52" x14ac:dyDescent="0.2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c r="AZ877" s="1"/>
    </row>
    <row r="878" spans="1:52" x14ac:dyDescent="0.2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c r="AZ878" s="1"/>
    </row>
    <row r="879" spans="1:52" x14ac:dyDescent="0.2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c r="AZ879" s="1"/>
    </row>
    <row r="880" spans="1:52" x14ac:dyDescent="0.2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c r="AZ880" s="1"/>
    </row>
    <row r="881" spans="1:52" x14ac:dyDescent="0.2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c r="AZ881" s="1"/>
    </row>
    <row r="882" spans="1:52" x14ac:dyDescent="0.2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c r="AZ882" s="1"/>
    </row>
    <row r="883" spans="1:52" x14ac:dyDescent="0.2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c r="AZ883" s="1"/>
    </row>
    <row r="884" spans="1:52" x14ac:dyDescent="0.2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c r="AZ884" s="1"/>
    </row>
    <row r="885" spans="1:52" x14ac:dyDescent="0.2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c r="AZ885" s="1"/>
    </row>
    <row r="886" spans="1:52" x14ac:dyDescent="0.2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c r="AZ886" s="1"/>
    </row>
    <row r="887" spans="1:52" x14ac:dyDescent="0.2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c r="AZ887" s="1"/>
    </row>
    <row r="888" spans="1:52" x14ac:dyDescent="0.2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c r="AZ888" s="1"/>
    </row>
    <row r="889" spans="1:52" x14ac:dyDescent="0.2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c r="AZ889" s="1"/>
    </row>
    <row r="890" spans="1:52" x14ac:dyDescent="0.2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c r="AZ890" s="1"/>
    </row>
    <row r="891" spans="1:52" x14ac:dyDescent="0.2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c r="AZ891" s="1"/>
    </row>
    <row r="892" spans="1:52" x14ac:dyDescent="0.2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c r="AZ892" s="1"/>
    </row>
    <row r="893" spans="1:52" x14ac:dyDescent="0.2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c r="AZ893" s="1"/>
    </row>
    <row r="894" spans="1:52" x14ac:dyDescent="0.2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c r="AZ894" s="1"/>
    </row>
    <row r="895" spans="1:52" x14ac:dyDescent="0.2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c r="AZ895" s="1"/>
    </row>
    <row r="896" spans="1:52" x14ac:dyDescent="0.2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c r="AZ896" s="1"/>
    </row>
    <row r="897" spans="1:52" x14ac:dyDescent="0.2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c r="AZ897" s="1"/>
    </row>
    <row r="898" spans="1:52" x14ac:dyDescent="0.2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c r="AZ898" s="1"/>
    </row>
    <row r="899" spans="1:52" x14ac:dyDescent="0.2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c r="AZ899" s="1"/>
    </row>
    <row r="900" spans="1:52" x14ac:dyDescent="0.2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c r="AZ900" s="1"/>
    </row>
    <row r="901" spans="1:52" x14ac:dyDescent="0.2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c r="AZ901" s="1"/>
    </row>
    <row r="902" spans="1:52" x14ac:dyDescent="0.2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c r="AZ902" s="1"/>
    </row>
    <row r="903" spans="1:52" x14ac:dyDescent="0.2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c r="AZ903" s="1"/>
    </row>
    <row r="904" spans="1:52" x14ac:dyDescent="0.2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c r="AZ904" s="1"/>
    </row>
    <row r="905" spans="1:52" x14ac:dyDescent="0.2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c r="AZ905" s="1"/>
    </row>
    <row r="906" spans="1:52" x14ac:dyDescent="0.2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c r="AZ906" s="1"/>
    </row>
    <row r="907" spans="1:52" x14ac:dyDescent="0.2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c r="AZ907" s="1"/>
    </row>
    <row r="908" spans="1:52" x14ac:dyDescent="0.2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c r="AZ908" s="1"/>
    </row>
    <row r="909" spans="1:52" x14ac:dyDescent="0.2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c r="AZ909" s="1"/>
    </row>
    <row r="910" spans="1:52" x14ac:dyDescent="0.2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c r="AZ910" s="1"/>
    </row>
    <row r="911" spans="1:52" x14ac:dyDescent="0.2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c r="AZ911" s="1"/>
    </row>
    <row r="912" spans="1:52" x14ac:dyDescent="0.2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c r="AZ912" s="1"/>
    </row>
    <row r="913" spans="1:52" x14ac:dyDescent="0.2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c r="AZ913" s="1"/>
    </row>
    <row r="914" spans="1:52" x14ac:dyDescent="0.2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c r="AZ914" s="1"/>
    </row>
    <row r="915" spans="1:52" x14ac:dyDescent="0.2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c r="AZ915" s="1"/>
    </row>
    <row r="916" spans="1:52" x14ac:dyDescent="0.2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c r="AZ916" s="1"/>
    </row>
    <row r="917" spans="1:52" x14ac:dyDescent="0.2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c r="AZ917" s="1"/>
    </row>
    <row r="918" spans="1:52" x14ac:dyDescent="0.2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c r="AZ918" s="1"/>
    </row>
    <row r="919" spans="1:52" x14ac:dyDescent="0.2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c r="AZ919" s="1"/>
    </row>
    <row r="920" spans="1:52" x14ac:dyDescent="0.2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c r="AZ920" s="1"/>
    </row>
    <row r="921" spans="1:52" x14ac:dyDescent="0.2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c r="AZ921" s="1"/>
    </row>
    <row r="922" spans="1:52" x14ac:dyDescent="0.2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c r="AZ922" s="1"/>
    </row>
    <row r="923" spans="1:52" x14ac:dyDescent="0.2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c r="AZ923" s="1"/>
    </row>
    <row r="924" spans="1:52" x14ac:dyDescent="0.2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c r="AZ924" s="1"/>
    </row>
    <row r="925" spans="1:52" x14ac:dyDescent="0.2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c r="AZ925" s="1"/>
    </row>
    <row r="926" spans="1:52" x14ac:dyDescent="0.2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c r="AZ926" s="1"/>
    </row>
    <row r="927" spans="1:52" x14ac:dyDescent="0.2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c r="AZ927" s="1"/>
    </row>
    <row r="928" spans="1:52" x14ac:dyDescent="0.2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c r="AZ928" s="1"/>
    </row>
    <row r="929" spans="1:52" x14ac:dyDescent="0.2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c r="AZ929" s="1"/>
    </row>
    <row r="930" spans="1:52" x14ac:dyDescent="0.2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c r="AZ930" s="1"/>
    </row>
    <row r="931" spans="1:52" x14ac:dyDescent="0.2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c r="AZ931" s="1"/>
    </row>
    <row r="932" spans="1:52" x14ac:dyDescent="0.2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c r="AZ932" s="1"/>
    </row>
    <row r="933" spans="1:52" x14ac:dyDescent="0.2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c r="AZ933" s="1"/>
    </row>
    <row r="934" spans="1:52" x14ac:dyDescent="0.2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c r="AZ934" s="1"/>
    </row>
    <row r="935" spans="1:52" x14ac:dyDescent="0.2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c r="AZ935" s="1"/>
    </row>
    <row r="936" spans="1:52" x14ac:dyDescent="0.2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c r="AZ936" s="1"/>
    </row>
    <row r="937" spans="1:52" x14ac:dyDescent="0.2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c r="AZ937" s="1"/>
    </row>
    <row r="938" spans="1:52" x14ac:dyDescent="0.2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c r="AZ938" s="1"/>
    </row>
    <row r="939" spans="1:52" x14ac:dyDescent="0.2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c r="AZ939" s="1"/>
    </row>
    <row r="940" spans="1:52" x14ac:dyDescent="0.2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c r="AZ940" s="1"/>
    </row>
    <row r="941" spans="1:52" x14ac:dyDescent="0.2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c r="AZ941" s="1"/>
    </row>
    <row r="942" spans="1:52" x14ac:dyDescent="0.2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c r="AZ942" s="1"/>
    </row>
    <row r="943" spans="1:52" x14ac:dyDescent="0.2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c r="AZ943" s="1"/>
    </row>
    <row r="944" spans="1:52" x14ac:dyDescent="0.2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c r="AZ944" s="1"/>
    </row>
    <row r="945" spans="1:52" x14ac:dyDescent="0.2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c r="AZ945" s="1"/>
    </row>
    <row r="946" spans="1:52" x14ac:dyDescent="0.2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c r="AZ946" s="1"/>
    </row>
    <row r="947" spans="1:52" x14ac:dyDescent="0.2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c r="AZ947" s="1"/>
    </row>
    <row r="948" spans="1:52" x14ac:dyDescent="0.2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c r="AZ948" s="1"/>
    </row>
    <row r="949" spans="1:52" x14ac:dyDescent="0.2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c r="AZ949" s="1"/>
    </row>
    <row r="950" spans="1:52" x14ac:dyDescent="0.2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c r="AZ950" s="1"/>
    </row>
    <row r="951" spans="1:52" x14ac:dyDescent="0.2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c r="AZ951" s="1"/>
    </row>
    <row r="952" spans="1:52" x14ac:dyDescent="0.2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c r="AZ952" s="1"/>
    </row>
    <row r="953" spans="1:52" x14ac:dyDescent="0.2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c r="AZ953" s="1"/>
    </row>
    <row r="954" spans="1:52" x14ac:dyDescent="0.2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c r="AZ954" s="1"/>
    </row>
    <row r="955" spans="1:52" x14ac:dyDescent="0.2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c r="AZ955" s="1"/>
    </row>
    <row r="956" spans="1:52" x14ac:dyDescent="0.2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c r="AZ956" s="1"/>
    </row>
    <row r="957" spans="1:52" x14ac:dyDescent="0.2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c r="AZ957" s="1"/>
    </row>
    <row r="958" spans="1:52" x14ac:dyDescent="0.2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c r="AZ958" s="1"/>
    </row>
    <row r="959" spans="1:52" x14ac:dyDescent="0.2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c r="AZ959" s="1"/>
    </row>
    <row r="960" spans="1:52" x14ac:dyDescent="0.2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c r="AZ960" s="1"/>
    </row>
    <row r="961" spans="1:52" x14ac:dyDescent="0.2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c r="AZ961" s="1"/>
    </row>
    <row r="962" spans="1:52" x14ac:dyDescent="0.2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c r="AZ962" s="1"/>
    </row>
    <row r="963" spans="1:52" x14ac:dyDescent="0.2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c r="AZ963" s="1"/>
    </row>
    <row r="964" spans="1:52" x14ac:dyDescent="0.2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c r="AZ964" s="1"/>
    </row>
    <row r="965" spans="1:52" x14ac:dyDescent="0.2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c r="AZ965" s="1"/>
    </row>
    <row r="966" spans="1:52" x14ac:dyDescent="0.2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c r="AZ966" s="1"/>
    </row>
    <row r="967" spans="1:52" x14ac:dyDescent="0.2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c r="AZ967" s="1"/>
    </row>
    <row r="968" spans="1:52" x14ac:dyDescent="0.2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c r="AZ968" s="1"/>
    </row>
    <row r="969" spans="1:52" x14ac:dyDescent="0.2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c r="AZ969" s="1"/>
    </row>
    <row r="970" spans="1:52" x14ac:dyDescent="0.2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c r="AZ970" s="1"/>
    </row>
    <row r="971" spans="1:52" x14ac:dyDescent="0.2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c r="AZ971" s="1"/>
    </row>
    <row r="972" spans="1:52" x14ac:dyDescent="0.2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c r="AZ972" s="1"/>
    </row>
    <row r="973" spans="1:52" x14ac:dyDescent="0.2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c r="AZ973" s="1"/>
    </row>
    <row r="974" spans="1:52" x14ac:dyDescent="0.2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c r="AZ974" s="1"/>
    </row>
    <row r="975" spans="1:52" x14ac:dyDescent="0.2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c r="AZ975" s="1"/>
    </row>
    <row r="976" spans="1:52" x14ac:dyDescent="0.2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c r="AZ976" s="1"/>
    </row>
    <row r="977" spans="1:52" x14ac:dyDescent="0.2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c r="AZ977" s="1"/>
    </row>
    <row r="978" spans="1:52" x14ac:dyDescent="0.2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c r="AZ978" s="1"/>
    </row>
    <row r="979" spans="1:52" x14ac:dyDescent="0.2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c r="AZ979" s="1"/>
    </row>
    <row r="980" spans="1:52" x14ac:dyDescent="0.2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c r="AZ980" s="1"/>
    </row>
    <row r="981" spans="1:52" x14ac:dyDescent="0.2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c r="AZ981" s="1"/>
    </row>
    <row r="982" spans="1:52" x14ac:dyDescent="0.2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c r="AZ982" s="1"/>
    </row>
    <row r="983" spans="1:52" x14ac:dyDescent="0.2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c r="AZ983" s="1"/>
    </row>
    <row r="984" spans="1:52" x14ac:dyDescent="0.2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c r="AZ984" s="1"/>
    </row>
    <row r="985" spans="1:52" x14ac:dyDescent="0.2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c r="AZ985" s="1"/>
    </row>
    <row r="986" spans="1:52" x14ac:dyDescent="0.2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c r="AZ986" s="1"/>
    </row>
    <row r="987" spans="1:52" x14ac:dyDescent="0.2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c r="AZ987" s="1"/>
    </row>
    <row r="988" spans="1:52" x14ac:dyDescent="0.2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c r="AZ988" s="1"/>
    </row>
    <row r="989" spans="1:52" x14ac:dyDescent="0.2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c r="AZ989" s="1"/>
    </row>
    <row r="990" spans="1:52" x14ac:dyDescent="0.2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c r="AZ990" s="1"/>
    </row>
    <row r="991" spans="1:52" x14ac:dyDescent="0.2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c r="AZ991" s="1"/>
    </row>
    <row r="992" spans="1:52" x14ac:dyDescent="0.2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c r="AZ992" s="1"/>
    </row>
  </sheetData>
  <mergeCells count="1">
    <mergeCell ref="A1:Q6"/>
  </mergeCells>
  <pageMargins left="0.75" right="0.75" top="1" bottom="1" header="0.5" footer="0.5"/>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5802FB-98C3-455C-9DDE-5377A58387D5}">
  <sheetPr>
    <tabColor rgb="FF212121"/>
  </sheetPr>
  <dimension ref="A1:AZ86"/>
  <sheetViews>
    <sheetView zoomScale="90" zoomScaleNormal="90" workbookViewId="0">
      <selection activeCell="F9" sqref="F9"/>
    </sheetView>
  </sheetViews>
  <sheetFormatPr defaultRowHeight="13.8" x14ac:dyDescent="0.25"/>
  <cols>
    <col min="1" max="1" width="5.5546875" style="2" customWidth="1"/>
    <col min="2" max="2" width="23" style="2" customWidth="1"/>
    <col min="3" max="3" width="27.88671875" style="2" bestFit="1" customWidth="1"/>
    <col min="4" max="4" width="23" style="2" customWidth="1"/>
    <col min="5" max="5" width="22.33203125" style="2" customWidth="1"/>
    <col min="6" max="6" width="23.77734375" style="2" customWidth="1"/>
    <col min="7" max="7" width="7.88671875" style="2" customWidth="1"/>
    <col min="8" max="8" width="19.33203125" style="2" customWidth="1"/>
    <col min="9" max="9" width="27.88671875" style="2" bestFit="1" customWidth="1"/>
    <col min="10" max="10" width="20.21875" style="2" customWidth="1"/>
    <col min="11" max="11" width="19.44140625" style="2" customWidth="1"/>
    <col min="12" max="12" width="20.44140625" style="2" customWidth="1"/>
    <col min="13" max="16384" width="8.88671875" style="2"/>
  </cols>
  <sheetData>
    <row r="1" spans="1:52" s="6" customFormat="1" ht="16.5" customHeight="1" x14ac:dyDescent="0.25">
      <c r="A1" s="5"/>
      <c r="B1" s="5"/>
      <c r="C1" s="5"/>
      <c r="D1" s="5"/>
      <c r="E1" s="5"/>
      <c r="F1" s="5"/>
      <c r="G1" s="5"/>
      <c r="H1" s="5"/>
      <c r="I1" s="5"/>
      <c r="J1" s="5"/>
      <c r="K1" s="5"/>
      <c r="L1" s="5"/>
      <c r="M1" s="5"/>
      <c r="N1" s="5"/>
      <c r="O1" s="5"/>
      <c r="P1" s="5"/>
      <c r="Q1" s="5"/>
      <c r="R1" s="5"/>
      <c r="S1" s="5"/>
      <c r="T1" s="5"/>
      <c r="U1" s="5"/>
      <c r="V1" s="5"/>
      <c r="W1" s="5"/>
      <c r="X1" s="5"/>
      <c r="Y1" s="5"/>
      <c r="Z1" s="5"/>
      <c r="AA1" s="5"/>
      <c r="AB1" s="5"/>
      <c r="AC1" s="5"/>
      <c r="AD1" s="5"/>
      <c r="AE1" s="5"/>
      <c r="AF1" s="5"/>
      <c r="AG1" s="5"/>
      <c r="AH1" s="5"/>
      <c r="AI1" s="5"/>
      <c r="AJ1" s="5"/>
      <c r="AK1" s="5"/>
      <c r="AL1" s="5"/>
      <c r="AM1" s="5"/>
      <c r="AN1" s="5"/>
      <c r="AO1" s="5"/>
      <c r="AP1" s="5"/>
      <c r="AQ1" s="5"/>
      <c r="AR1" s="5"/>
      <c r="AS1" s="5"/>
      <c r="AT1" s="5"/>
      <c r="AU1" s="5"/>
      <c r="AV1" s="5"/>
      <c r="AW1" s="5"/>
      <c r="AX1" s="5"/>
      <c r="AY1" s="5"/>
      <c r="AZ1" s="5"/>
    </row>
    <row r="2" spans="1:52" s="8" customFormat="1" x14ac:dyDescent="0.25">
      <c r="A2" s="7"/>
      <c r="B2" s="7"/>
      <c r="C2" s="7"/>
      <c r="D2" s="7"/>
      <c r="E2" s="7"/>
      <c r="F2" s="7"/>
      <c r="G2" s="7"/>
      <c r="H2" s="7"/>
      <c r="I2" s="7"/>
      <c r="J2" s="7"/>
      <c r="K2" s="7"/>
      <c r="L2" s="7"/>
      <c r="M2" s="7"/>
      <c r="N2" s="7"/>
      <c r="O2" s="7"/>
      <c r="P2" s="7"/>
      <c r="Q2" s="7"/>
      <c r="R2" s="7"/>
      <c r="S2" s="7"/>
      <c r="T2" s="7"/>
      <c r="U2" s="7"/>
      <c r="V2" s="7"/>
      <c r="W2" s="7"/>
      <c r="X2" s="7"/>
      <c r="Y2" s="7"/>
      <c r="Z2" s="7"/>
      <c r="AA2" s="7"/>
      <c r="AB2" s="7"/>
      <c r="AC2" s="7"/>
      <c r="AD2" s="7"/>
      <c r="AE2" s="7"/>
      <c r="AF2" s="7"/>
      <c r="AG2" s="7"/>
      <c r="AH2" s="7"/>
      <c r="AI2" s="7"/>
      <c r="AJ2" s="7"/>
      <c r="AK2" s="7"/>
      <c r="AL2" s="7"/>
      <c r="AM2" s="7"/>
      <c r="AN2" s="7"/>
      <c r="AO2" s="7"/>
      <c r="AP2" s="7"/>
      <c r="AQ2" s="7"/>
      <c r="AR2" s="7"/>
      <c r="AS2" s="7"/>
      <c r="AT2" s="7"/>
      <c r="AU2" s="7"/>
      <c r="AV2" s="7"/>
      <c r="AW2" s="7"/>
      <c r="AX2" s="7"/>
      <c r="AY2" s="7"/>
      <c r="AZ2" s="7"/>
    </row>
    <row r="3" spans="1:52" s="63" customFormat="1" ht="14.4" x14ac:dyDescent="0.3">
      <c r="C3"/>
      <c r="D3"/>
    </row>
    <row r="4" spans="1:52" s="63" customFormat="1" ht="14.4" x14ac:dyDescent="0.3">
      <c r="C4" s="153"/>
      <c r="D4" s="153"/>
    </row>
    <row r="5" spans="1:52" s="63" customFormat="1" ht="14.4" customHeight="1" thickBot="1" x14ac:dyDescent="0.3">
      <c r="B5" s="466" t="s">
        <v>533</v>
      </c>
      <c r="C5" s="466"/>
      <c r="E5" s="466" t="s">
        <v>532</v>
      </c>
      <c r="F5" s="466"/>
      <c r="H5" s="442"/>
    </row>
    <row r="6" spans="1:52" ht="14.4" x14ac:dyDescent="0.3">
      <c r="B6" s="362" t="s">
        <v>506</v>
      </c>
      <c r="C6" s="367" t="s">
        <v>348</v>
      </c>
      <c r="D6"/>
      <c r="E6" s="362" t="s">
        <v>506</v>
      </c>
      <c r="F6" s="367" t="s">
        <v>348</v>
      </c>
      <c r="H6" s="452" t="s">
        <v>534</v>
      </c>
      <c r="I6"/>
    </row>
    <row r="7" spans="1:52" ht="14.4" x14ac:dyDescent="0.3">
      <c r="B7" s="373" t="s">
        <v>346</v>
      </c>
      <c r="C7" s="447" t="s">
        <v>529</v>
      </c>
      <c r="D7"/>
      <c r="E7" s="373" t="s">
        <v>346</v>
      </c>
      <c r="F7" s="440">
        <v>15</v>
      </c>
      <c r="H7" s="452" t="s">
        <v>530</v>
      </c>
      <c r="I7"/>
    </row>
    <row r="8" spans="1:52" ht="15" thickBot="1" x14ac:dyDescent="0.35">
      <c r="B8" s="451" t="s">
        <v>347</v>
      </c>
      <c r="C8" s="448" t="s">
        <v>529</v>
      </c>
      <c r="D8"/>
      <c r="E8" s="451" t="s">
        <v>347</v>
      </c>
      <c r="F8" s="441">
        <v>40</v>
      </c>
      <c r="H8" s="452" t="s">
        <v>531</v>
      </c>
      <c r="I8"/>
    </row>
    <row r="9" spans="1:52" ht="14.4" x14ac:dyDescent="0.3">
      <c r="B9" s="153"/>
      <c r="C9" s="153"/>
      <c r="D9" s="66"/>
      <c r="E9" s="153"/>
    </row>
    <row r="10" spans="1:52" ht="15" thickBot="1" x14ac:dyDescent="0.35">
      <c r="B10" s="466" t="s">
        <v>535</v>
      </c>
      <c r="C10" s="466"/>
      <c r="D10" s="66"/>
      <c r="E10" s="153"/>
    </row>
    <row r="11" spans="1:52" ht="14.4" x14ac:dyDescent="0.3">
      <c r="B11" s="362" t="s">
        <v>506</v>
      </c>
      <c r="C11" s="367" t="s">
        <v>348</v>
      </c>
      <c r="D11" s="66"/>
      <c r="E11" s="153"/>
    </row>
    <row r="12" spans="1:52" ht="14.4" x14ac:dyDescent="0.3">
      <c r="B12" s="373" t="s">
        <v>346</v>
      </c>
      <c r="C12" s="416">
        <f>IF(C7="User-defined price",F7,IF(C7="19 $/Min (NASA MOCS)",19,IF(C7="Scenario 1 - 2 suppliers",50, IF(C7="Scenario 2 - 4 suppliers",75,IF(C7="Scenario 3 - 6 suppliers",100)))))</f>
        <v>15</v>
      </c>
      <c r="D12" s="66"/>
      <c r="E12" s="153"/>
    </row>
    <row r="13" spans="1:52" s="63" customFormat="1" ht="15" thickBot="1" x14ac:dyDescent="0.35">
      <c r="B13" s="451" t="s">
        <v>347</v>
      </c>
      <c r="C13" s="453">
        <f>IF(C8="User-defined price",F8,IF(C8="91 $/Min (NASA MOCS)",91,IF(C8="Scenario 1 - 2 suppliers",100, IF(C8="Scenario 2 - 4 suppliers",150,IF(C8="Scenario 3 - 6 suppliers",200)))))</f>
        <v>40</v>
      </c>
      <c r="E13" s="153"/>
    </row>
    <row r="14" spans="1:52" s="63" customFormat="1" ht="14.4" x14ac:dyDescent="0.3">
      <c r="B14" s="449"/>
      <c r="C14" s="48"/>
      <c r="E14" s="153"/>
    </row>
    <row r="15" spans="1:52" s="63" customFormat="1" x14ac:dyDescent="0.25">
      <c r="B15" s="449"/>
      <c r="C15" s="48"/>
    </row>
    <row r="16" spans="1:52" s="63" customFormat="1" x14ac:dyDescent="0.25">
      <c r="B16" s="449"/>
      <c r="C16" s="450"/>
    </row>
    <row r="17" spans="2:12" ht="17.399999999999999" x14ac:dyDescent="0.3">
      <c r="B17" s="351" t="s">
        <v>512</v>
      </c>
      <c r="G17" s="63"/>
    </row>
    <row r="18" spans="2:12" ht="14.4" thickBot="1" x14ac:dyDescent="0.3">
      <c r="G18" s="63"/>
    </row>
    <row r="19" spans="2:12" x14ac:dyDescent="0.25">
      <c r="B19" s="462" t="s">
        <v>323</v>
      </c>
      <c r="C19" s="463"/>
      <c r="D19" s="463"/>
      <c r="E19" s="463"/>
      <c r="F19" s="464"/>
      <c r="G19" s="66"/>
      <c r="H19" s="462" t="s">
        <v>503</v>
      </c>
      <c r="I19" s="463"/>
      <c r="J19" s="463"/>
      <c r="K19" s="463"/>
      <c r="L19" s="464"/>
    </row>
    <row r="20" spans="2:12" x14ac:dyDescent="0.25">
      <c r="B20" s="286" t="s">
        <v>338</v>
      </c>
      <c r="C20" s="287" t="s">
        <v>339</v>
      </c>
      <c r="D20" s="284" t="s">
        <v>7</v>
      </c>
      <c r="E20" s="284" t="s">
        <v>76</v>
      </c>
      <c r="F20" s="186" t="s">
        <v>6</v>
      </c>
      <c r="G20" s="66"/>
      <c r="H20" s="286" t="s">
        <v>338</v>
      </c>
      <c r="I20" s="287" t="s">
        <v>339</v>
      </c>
      <c r="J20" s="284" t="s">
        <v>7</v>
      </c>
      <c r="K20" s="284" t="s">
        <v>76</v>
      </c>
      <c r="L20" s="186" t="s">
        <v>6</v>
      </c>
    </row>
    <row r="21" spans="2:12" x14ac:dyDescent="0.25">
      <c r="B21" s="465" t="s">
        <v>335</v>
      </c>
      <c r="C21" s="285" t="s">
        <v>340</v>
      </c>
      <c r="D21" s="203">
        <f>Future_Cost!C103</f>
        <v>800499.93333333335</v>
      </c>
      <c r="E21" s="203">
        <f>Future_Cost!D103</f>
        <v>1110897.8666666667</v>
      </c>
      <c r="F21" s="205">
        <f>Future_Cost!E103</f>
        <v>1388622.3333333333</v>
      </c>
      <c r="G21" s="66"/>
      <c r="H21" s="465" t="s">
        <v>335</v>
      </c>
      <c r="I21" s="285" t="s">
        <v>340</v>
      </c>
      <c r="J21" s="386">
        <f>Future_Cost!I103</f>
        <v>12007499</v>
      </c>
      <c r="K21" s="386">
        <f>Future_Cost!J103</f>
        <v>16663468</v>
      </c>
      <c r="L21" s="387">
        <f>Future_Cost!K103</f>
        <v>20829335</v>
      </c>
    </row>
    <row r="22" spans="2:12" x14ac:dyDescent="0.25">
      <c r="B22" s="465"/>
      <c r="C22" s="285" t="s">
        <v>341</v>
      </c>
      <c r="D22" s="203">
        <f>Future_Cost!C104</f>
        <v>5259742.9230769239</v>
      </c>
      <c r="E22" s="203">
        <f>Future_Cost!D104</f>
        <v>7191893.384615385</v>
      </c>
      <c r="F22" s="205">
        <f>Future_Cost!E104</f>
        <v>9124043.8461538479</v>
      </c>
      <c r="G22" s="66"/>
      <c r="H22" s="465"/>
      <c r="I22" s="285" t="s">
        <v>341</v>
      </c>
      <c r="J22" s="386">
        <f>Future_Cost!I104</f>
        <v>210389716.92307693</v>
      </c>
      <c r="K22" s="386">
        <f>Future_Cost!J104</f>
        <v>287675735.38461536</v>
      </c>
      <c r="L22" s="387">
        <f>Future_Cost!K104</f>
        <v>364961753.84615386</v>
      </c>
    </row>
    <row r="23" spans="2:12" x14ac:dyDescent="0.25">
      <c r="B23" s="465"/>
      <c r="C23" s="285" t="s">
        <v>342</v>
      </c>
      <c r="D23" s="203">
        <f>Future_Cost!C105</f>
        <v>2146833.846153846</v>
      </c>
      <c r="E23" s="203">
        <f>Future_Cost!D105</f>
        <v>3434934.153846154</v>
      </c>
      <c r="F23" s="205">
        <f>Future_Cost!E105</f>
        <v>4830376.153846154</v>
      </c>
      <c r="G23" s="66"/>
      <c r="H23" s="465"/>
      <c r="I23" s="285" t="s">
        <v>342</v>
      </c>
      <c r="J23" s="386">
        <f>Future_Cost!I105</f>
        <v>85873353.84615384</v>
      </c>
      <c r="K23" s="386">
        <f>Future_Cost!J105</f>
        <v>137397366.15384614</v>
      </c>
      <c r="L23" s="387">
        <f>Future_Cost!K105</f>
        <v>193215046.15384614</v>
      </c>
    </row>
    <row r="24" spans="2:12" x14ac:dyDescent="0.25">
      <c r="B24" s="465" t="s">
        <v>336</v>
      </c>
      <c r="C24" s="285" t="s">
        <v>343</v>
      </c>
      <c r="D24" s="203">
        <f>Future_Cost!C106</f>
        <v>653469.33333333326</v>
      </c>
      <c r="E24" s="203">
        <f>Future_Cost!D106</f>
        <v>947530.53333333344</v>
      </c>
      <c r="F24" s="205">
        <f>Future_Cost!E106</f>
        <v>1241591.7333333334</v>
      </c>
      <c r="G24" s="66"/>
      <c r="H24" s="465" t="s">
        <v>336</v>
      </c>
      <c r="I24" s="285" t="s">
        <v>343</v>
      </c>
      <c r="J24" s="386">
        <f>Future_Cost!I106</f>
        <v>9802040</v>
      </c>
      <c r="K24" s="386">
        <f>Future_Cost!J106</f>
        <v>14212958</v>
      </c>
      <c r="L24" s="387">
        <f>Future_Cost!K106</f>
        <v>18623876</v>
      </c>
    </row>
    <row r="25" spans="2:12" x14ac:dyDescent="0.25">
      <c r="B25" s="465"/>
      <c r="C25" s="285" t="s">
        <v>344</v>
      </c>
      <c r="D25" s="203">
        <f>Future_Cost!C107</f>
        <v>833173.39999999991</v>
      </c>
      <c r="E25" s="203">
        <f>Future_Cost!D107</f>
        <v>1225255</v>
      </c>
      <c r="F25" s="205">
        <f>Future_Cost!E107</f>
        <v>1600999.8666666665</v>
      </c>
      <c r="G25" s="66"/>
      <c r="H25" s="465"/>
      <c r="I25" s="285" t="s">
        <v>344</v>
      </c>
      <c r="J25" s="386">
        <f>Future_Cost!I107</f>
        <v>33326936</v>
      </c>
      <c r="K25" s="386">
        <f>Future_Cost!J107</f>
        <v>49010200</v>
      </c>
      <c r="L25" s="387">
        <f>Future_Cost!K107</f>
        <v>64039994.666666657</v>
      </c>
    </row>
    <row r="26" spans="2:12" ht="14.4" thickBot="1" x14ac:dyDescent="0.3">
      <c r="B26" s="352"/>
      <c r="C26" s="353" t="s">
        <v>84</v>
      </c>
      <c r="D26" s="354">
        <f>SUM(D21:D25)</f>
        <v>9693719.4358974379</v>
      </c>
      <c r="E26" s="354">
        <f>SUM(E21:E25)</f>
        <v>13910510.938461538</v>
      </c>
      <c r="F26" s="355">
        <f>SUM(F21:F25)</f>
        <v>18185633.933333337</v>
      </c>
      <c r="G26" s="66"/>
      <c r="H26" s="352"/>
      <c r="I26" s="353" t="s">
        <v>84</v>
      </c>
      <c r="J26" s="356">
        <f>SUM(J21:J25)</f>
        <v>351399545.76923078</v>
      </c>
      <c r="K26" s="356">
        <f>SUM(K21:K25)</f>
        <v>504959727.53846151</v>
      </c>
      <c r="L26" s="357">
        <f>SUM(L21:L25)</f>
        <v>661670005.66666663</v>
      </c>
    </row>
    <row r="39" spans="2:15" ht="14.4" x14ac:dyDescent="0.3">
      <c r="O39"/>
    </row>
    <row r="40" spans="2:15" ht="14.4" x14ac:dyDescent="0.3">
      <c r="O40"/>
    </row>
    <row r="41" spans="2:15" ht="13.8" customHeight="1" x14ac:dyDescent="0.3">
      <c r="O41"/>
    </row>
    <row r="42" spans="2:15" ht="14.4" customHeight="1" x14ac:dyDescent="0.3">
      <c r="O42"/>
    </row>
    <row r="43" spans="2:15" ht="14.4" customHeight="1" x14ac:dyDescent="0.3">
      <c r="O43"/>
    </row>
    <row r="44" spans="2:15" ht="13.8" customHeight="1" x14ac:dyDescent="0.3">
      <c r="O44"/>
    </row>
    <row r="45" spans="2:15" ht="15" customHeight="1" x14ac:dyDescent="0.3">
      <c r="O45"/>
    </row>
    <row r="46" spans="2:15" ht="15" customHeight="1" x14ac:dyDescent="0.3">
      <c r="O46"/>
    </row>
    <row r="47" spans="2:15" ht="15" customHeight="1" x14ac:dyDescent="0.3">
      <c r="B47" s="351" t="s">
        <v>511</v>
      </c>
      <c r="G47" s="63"/>
      <c r="O47"/>
    </row>
    <row r="48" spans="2:15" ht="14.4" thickBot="1" x14ac:dyDescent="0.3">
      <c r="G48" s="63"/>
    </row>
    <row r="49" spans="2:12" x14ac:dyDescent="0.25">
      <c r="B49" s="462" t="s">
        <v>323</v>
      </c>
      <c r="C49" s="463"/>
      <c r="D49" s="463"/>
      <c r="E49" s="463"/>
      <c r="F49" s="464"/>
      <c r="G49" s="66"/>
      <c r="H49" s="462" t="s">
        <v>324</v>
      </c>
      <c r="I49" s="463"/>
      <c r="J49" s="463"/>
      <c r="K49" s="463"/>
      <c r="L49" s="464"/>
    </row>
    <row r="50" spans="2:12" x14ac:dyDescent="0.25">
      <c r="B50" s="286" t="s">
        <v>338</v>
      </c>
      <c r="C50" s="287" t="s">
        <v>339</v>
      </c>
      <c r="D50" s="284" t="s">
        <v>7</v>
      </c>
      <c r="E50" s="284" t="s">
        <v>76</v>
      </c>
      <c r="F50" s="186" t="s">
        <v>6</v>
      </c>
      <c r="G50" s="66"/>
      <c r="H50" s="286" t="s">
        <v>338</v>
      </c>
      <c r="I50" s="287" t="s">
        <v>339</v>
      </c>
      <c r="J50" s="284" t="s">
        <v>7</v>
      </c>
      <c r="K50" s="284" t="s">
        <v>76</v>
      </c>
      <c r="L50" s="186" t="s">
        <v>6</v>
      </c>
    </row>
    <row r="51" spans="2:12" x14ac:dyDescent="0.25">
      <c r="B51" s="465" t="s">
        <v>335</v>
      </c>
      <c r="C51" s="285" t="s">
        <v>340</v>
      </c>
      <c r="D51" s="203">
        <f>Current_Operational_Cost!C103</f>
        <v>0</v>
      </c>
      <c r="E51" s="203">
        <f>Current_Operational_Cost!D103</f>
        <v>400249.96666666667</v>
      </c>
      <c r="F51" s="203">
        <f>Current_Operational_Cost!E103</f>
        <v>0</v>
      </c>
      <c r="G51" s="66"/>
      <c r="H51" s="465" t="s">
        <v>335</v>
      </c>
      <c r="I51" s="285" t="s">
        <v>340</v>
      </c>
      <c r="J51" s="386">
        <f>Current_Operational_Cost!I103</f>
        <v>0</v>
      </c>
      <c r="K51" s="386">
        <f>Current_Operational_Cost!J103</f>
        <v>6003749.5</v>
      </c>
      <c r="L51" s="386">
        <f>Current_Operational_Cost!K103</f>
        <v>0</v>
      </c>
    </row>
    <row r="52" spans="2:12" x14ac:dyDescent="0.25">
      <c r="B52" s="465"/>
      <c r="C52" s="285" t="s">
        <v>341</v>
      </c>
      <c r="D52" s="203">
        <f>Current_Operational_Cost!C104</f>
        <v>0</v>
      </c>
      <c r="E52" s="203">
        <f>Current_Operational_Cost!D104</f>
        <v>3486933</v>
      </c>
      <c r="F52" s="203">
        <f>Current_Operational_Cost!E104</f>
        <v>0</v>
      </c>
      <c r="G52" s="66"/>
      <c r="H52" s="465"/>
      <c r="I52" s="285" t="s">
        <v>341</v>
      </c>
      <c r="J52" s="386">
        <f>Current_Operational_Cost!I104</f>
        <v>0</v>
      </c>
      <c r="K52" s="386">
        <f>Current_Operational_Cost!J104</f>
        <v>139477320</v>
      </c>
      <c r="L52" s="386">
        <f>Current_Operational_Cost!K104</f>
        <v>0</v>
      </c>
    </row>
    <row r="53" spans="2:12" x14ac:dyDescent="0.25">
      <c r="B53" s="465"/>
      <c r="C53" s="285" t="s">
        <v>342</v>
      </c>
      <c r="D53" s="203">
        <f>Current_Operational_Cost!C105</f>
        <v>0</v>
      </c>
      <c r="E53" s="203">
        <f>Current_Operational_Cost!D105</f>
        <v>1672</v>
      </c>
      <c r="F53" s="203">
        <f>Current_Operational_Cost!E105</f>
        <v>0</v>
      </c>
      <c r="G53" s="66"/>
      <c r="H53" s="465"/>
      <c r="I53" s="285" t="s">
        <v>342</v>
      </c>
      <c r="J53" s="386">
        <f>Current_Operational_Cost!I105</f>
        <v>0</v>
      </c>
      <c r="K53" s="386">
        <f>Current_Operational_Cost!J105</f>
        <v>66880</v>
      </c>
      <c r="L53" s="386">
        <f>Current_Operational_Cost!K105</f>
        <v>0</v>
      </c>
    </row>
    <row r="54" spans="2:12" x14ac:dyDescent="0.25">
      <c r="B54" s="465" t="s">
        <v>336</v>
      </c>
      <c r="C54" s="285" t="s">
        <v>343</v>
      </c>
      <c r="D54" s="203">
        <f>Current_Operational_Cost!C106</f>
        <v>0</v>
      </c>
      <c r="E54" s="203">
        <f>Current_Operational_Cost!D106</f>
        <v>400249.96666666667</v>
      </c>
      <c r="F54" s="203">
        <f>Current_Operational_Cost!E106</f>
        <v>0</v>
      </c>
      <c r="G54" s="66"/>
      <c r="H54" s="465" t="s">
        <v>336</v>
      </c>
      <c r="I54" s="285" t="s">
        <v>343</v>
      </c>
      <c r="J54" s="386">
        <f>Current_Operational_Cost!I106</f>
        <v>0</v>
      </c>
      <c r="K54" s="386">
        <f>Current_Operational_Cost!J106</f>
        <v>6003749.5</v>
      </c>
      <c r="L54" s="386">
        <f>Current_Operational_Cost!K106</f>
        <v>0</v>
      </c>
    </row>
    <row r="55" spans="2:12" x14ac:dyDescent="0.25">
      <c r="B55" s="465"/>
      <c r="C55" s="285" t="s">
        <v>344</v>
      </c>
      <c r="D55" s="203">
        <f>Current_Operational_Cost!C107</f>
        <v>0</v>
      </c>
      <c r="E55" s="203">
        <f>Current_Operational_Cost!D107</f>
        <v>3486933</v>
      </c>
      <c r="F55" s="203">
        <f>Current_Operational_Cost!E107</f>
        <v>0</v>
      </c>
      <c r="G55" s="66"/>
      <c r="H55" s="465"/>
      <c r="I55" s="285" t="s">
        <v>344</v>
      </c>
      <c r="J55" s="386">
        <f>Current_Operational_Cost!I107</f>
        <v>0</v>
      </c>
      <c r="K55" s="386">
        <f>Current_Operational_Cost!J107</f>
        <v>139477320</v>
      </c>
      <c r="L55" s="386">
        <f>Current_Operational_Cost!K107</f>
        <v>0</v>
      </c>
    </row>
    <row r="56" spans="2:12" ht="14.4" thickBot="1" x14ac:dyDescent="0.3">
      <c r="B56" s="352"/>
      <c r="C56" s="353" t="s">
        <v>84</v>
      </c>
      <c r="D56" s="354">
        <f>SUM(D51:D55)</f>
        <v>0</v>
      </c>
      <c r="E56" s="354">
        <f>SUM(E51:E55)</f>
        <v>7776037.9333333336</v>
      </c>
      <c r="F56" s="355">
        <f>SUM(F51:F55)</f>
        <v>0</v>
      </c>
      <c r="G56" s="66"/>
      <c r="H56" s="352"/>
      <c r="I56" s="353" t="s">
        <v>84</v>
      </c>
      <c r="J56" s="356">
        <f>SUM(J51:J55)</f>
        <v>0</v>
      </c>
      <c r="K56" s="356">
        <f>SUM(K51:K55)</f>
        <v>291029019</v>
      </c>
      <c r="L56" s="357">
        <f>SUM(L51:L55)</f>
        <v>0</v>
      </c>
    </row>
    <row r="77" spans="2:12" ht="17.399999999999999" x14ac:dyDescent="0.3">
      <c r="B77" s="351" t="s">
        <v>513</v>
      </c>
      <c r="G77" s="63"/>
    </row>
    <row r="78" spans="2:12" ht="14.4" thickBot="1" x14ac:dyDescent="0.3">
      <c r="G78" s="63"/>
    </row>
    <row r="79" spans="2:12" x14ac:dyDescent="0.25">
      <c r="B79" s="462" t="s">
        <v>323</v>
      </c>
      <c r="C79" s="463"/>
      <c r="D79" s="463"/>
      <c r="E79" s="463"/>
      <c r="F79" s="464"/>
      <c r="G79" s="66"/>
      <c r="H79" s="462" t="s">
        <v>503</v>
      </c>
      <c r="I79" s="463"/>
      <c r="J79" s="463"/>
      <c r="K79" s="463"/>
      <c r="L79" s="464"/>
    </row>
    <row r="80" spans="2:12" x14ac:dyDescent="0.25">
      <c r="B80" s="286" t="s">
        <v>338</v>
      </c>
      <c r="C80" s="287" t="s">
        <v>339</v>
      </c>
      <c r="D80" s="284" t="s">
        <v>7</v>
      </c>
      <c r="E80" s="284" t="s">
        <v>76</v>
      </c>
      <c r="F80" s="186" t="s">
        <v>6</v>
      </c>
      <c r="G80" s="66"/>
      <c r="H80" s="286" t="s">
        <v>338</v>
      </c>
      <c r="I80" s="287" t="s">
        <v>339</v>
      </c>
      <c r="J80" s="284" t="s">
        <v>7</v>
      </c>
      <c r="K80" s="284" t="s">
        <v>76</v>
      </c>
      <c r="L80" s="186" t="s">
        <v>6</v>
      </c>
    </row>
    <row r="81" spans="2:12" x14ac:dyDescent="0.25">
      <c r="B81" s="465" t="s">
        <v>335</v>
      </c>
      <c r="C81" s="285" t="s">
        <v>340</v>
      </c>
      <c r="D81" s="407" t="s">
        <v>10</v>
      </c>
      <c r="E81" s="203">
        <f>Historical_Cost!E103</f>
        <v>392081.6</v>
      </c>
      <c r="F81" s="408" t="s">
        <v>10</v>
      </c>
      <c r="G81" s="66"/>
      <c r="H81" s="465" t="s">
        <v>335</v>
      </c>
      <c r="I81" s="285" t="s">
        <v>340</v>
      </c>
      <c r="J81" s="407" t="s">
        <v>10</v>
      </c>
      <c r="K81" s="203">
        <f>Historical_Cost!K103</f>
        <v>5881224</v>
      </c>
      <c r="L81" s="408" t="s">
        <v>10</v>
      </c>
    </row>
    <row r="82" spans="2:12" x14ac:dyDescent="0.25">
      <c r="B82" s="465"/>
      <c r="C82" s="285" t="s">
        <v>341</v>
      </c>
      <c r="D82" s="407" t="s">
        <v>10</v>
      </c>
      <c r="E82" s="203">
        <f>Historical_Cost!E104</f>
        <v>2146833.846153846</v>
      </c>
      <c r="F82" s="408" t="s">
        <v>10</v>
      </c>
      <c r="G82" s="66"/>
      <c r="H82" s="465"/>
      <c r="I82" s="285" t="s">
        <v>341</v>
      </c>
      <c r="J82" s="407" t="s">
        <v>10</v>
      </c>
      <c r="K82" s="203">
        <f>Historical_Cost!K104</f>
        <v>85873353.846153855</v>
      </c>
      <c r="L82" s="408" t="s">
        <v>10</v>
      </c>
    </row>
    <row r="83" spans="2:12" x14ac:dyDescent="0.25">
      <c r="B83" s="465"/>
      <c r="C83" s="285" t="s">
        <v>342</v>
      </c>
      <c r="D83" s="407" t="s">
        <v>10</v>
      </c>
      <c r="E83" s="203">
        <f>Historical_Cost!E105</f>
        <v>4186326</v>
      </c>
      <c r="F83" s="408" t="s">
        <v>10</v>
      </c>
      <c r="G83" s="66"/>
      <c r="H83" s="465"/>
      <c r="I83" s="285" t="s">
        <v>342</v>
      </c>
      <c r="J83" s="407" t="s">
        <v>10</v>
      </c>
      <c r="K83" s="203">
        <f>Historical_Cost!K105</f>
        <v>167453040</v>
      </c>
      <c r="L83" s="408" t="s">
        <v>10</v>
      </c>
    </row>
    <row r="84" spans="2:12" x14ac:dyDescent="0.25">
      <c r="B84" s="465" t="s">
        <v>336</v>
      </c>
      <c r="C84" s="285" t="s">
        <v>343</v>
      </c>
      <c r="D84" s="407" t="s">
        <v>10</v>
      </c>
      <c r="E84" s="203">
        <f>Historical_Cost!E106</f>
        <v>359408.1333333333</v>
      </c>
      <c r="F84" s="408" t="s">
        <v>10</v>
      </c>
      <c r="G84" s="66"/>
      <c r="H84" s="465" t="s">
        <v>336</v>
      </c>
      <c r="I84" s="285" t="s">
        <v>343</v>
      </c>
      <c r="J84" s="407" t="s">
        <v>10</v>
      </c>
      <c r="K84" s="203">
        <f>Historical_Cost!K106</f>
        <v>5391122</v>
      </c>
      <c r="L84" s="408" t="s">
        <v>10</v>
      </c>
    </row>
    <row r="85" spans="2:12" x14ac:dyDescent="0.25">
      <c r="B85" s="465"/>
      <c r="C85" s="285" t="s">
        <v>344</v>
      </c>
      <c r="D85" s="407" t="s">
        <v>10</v>
      </c>
      <c r="E85" s="203">
        <f>Historical_Cost!E107</f>
        <v>1502783.6923076923</v>
      </c>
      <c r="F85" s="408" t="s">
        <v>10</v>
      </c>
      <c r="G85" s="66"/>
      <c r="H85" s="465"/>
      <c r="I85" s="285" t="s">
        <v>344</v>
      </c>
      <c r="J85" s="407" t="s">
        <v>10</v>
      </c>
      <c r="K85" s="203">
        <f>Historical_Cost!K107</f>
        <v>60111347.692307703</v>
      </c>
      <c r="L85" s="408" t="s">
        <v>10</v>
      </c>
    </row>
    <row r="86" spans="2:12" ht="14.4" thickBot="1" x14ac:dyDescent="0.3">
      <c r="B86" s="352"/>
      <c r="C86" s="353" t="s">
        <v>84</v>
      </c>
      <c r="D86" s="354">
        <f>SUM(D81:D85)</f>
        <v>0</v>
      </c>
      <c r="E86" s="354">
        <f>SUM(E81:E85)</f>
        <v>8587433.2717948705</v>
      </c>
      <c r="F86" s="355">
        <f>SUM(F81:F85)</f>
        <v>0</v>
      </c>
      <c r="G86" s="66"/>
      <c r="H86" s="352"/>
      <c r="I86" s="353" t="s">
        <v>84</v>
      </c>
      <c r="J86" s="356">
        <f>SUM(J81:J85)</f>
        <v>0</v>
      </c>
      <c r="K86" s="356">
        <f>SUM(K81:K85)</f>
        <v>324710087.53846157</v>
      </c>
      <c r="L86" s="357">
        <f>SUM(L81:L85)</f>
        <v>0</v>
      </c>
    </row>
  </sheetData>
  <mergeCells count="21">
    <mergeCell ref="B19:F19"/>
    <mergeCell ref="H19:L19"/>
    <mergeCell ref="B21:B23"/>
    <mergeCell ref="H21:H23"/>
    <mergeCell ref="E5:F5"/>
    <mergeCell ref="B5:C5"/>
    <mergeCell ref="B10:C10"/>
    <mergeCell ref="B49:F49"/>
    <mergeCell ref="H49:L49"/>
    <mergeCell ref="B84:B85"/>
    <mergeCell ref="H84:H85"/>
    <mergeCell ref="B24:B25"/>
    <mergeCell ref="H24:H25"/>
    <mergeCell ref="B79:F79"/>
    <mergeCell ref="H79:L79"/>
    <mergeCell ref="B81:B83"/>
    <mergeCell ref="H81:H83"/>
    <mergeCell ref="B51:B53"/>
    <mergeCell ref="H51:H53"/>
    <mergeCell ref="B54:B55"/>
    <mergeCell ref="H54:H55"/>
  </mergeCells>
  <conditionalFormatting sqref="D21:F25">
    <cfRule type="dataBar" priority="6">
      <dataBar>
        <cfvo type="min"/>
        <cfvo type="max"/>
        <color rgb="FF638EC6"/>
      </dataBar>
      <extLst>
        <ext xmlns:x14="http://schemas.microsoft.com/office/spreadsheetml/2009/9/main" uri="{B025F937-C7B1-47D3-B67F-A62EFF666E3E}">
          <x14:id>{D140D452-CF55-43D6-8C58-E21A7039F638}</x14:id>
        </ext>
      </extLst>
    </cfRule>
  </conditionalFormatting>
  <conditionalFormatting sqref="J21:L25">
    <cfRule type="dataBar" priority="5">
      <dataBar>
        <cfvo type="min"/>
        <cfvo type="max"/>
        <color rgb="FF63C384"/>
      </dataBar>
      <extLst>
        <ext xmlns:x14="http://schemas.microsoft.com/office/spreadsheetml/2009/9/main" uri="{B025F937-C7B1-47D3-B67F-A62EFF666E3E}">
          <x14:id>{A7010244-0D4B-4A80-82C3-72139FE2D67A}</x14:id>
        </ext>
      </extLst>
    </cfRule>
  </conditionalFormatting>
  <conditionalFormatting sqref="D81:F85">
    <cfRule type="dataBar" priority="4">
      <dataBar>
        <cfvo type="min"/>
        <cfvo type="max"/>
        <color rgb="FF638EC6"/>
      </dataBar>
      <extLst>
        <ext xmlns:x14="http://schemas.microsoft.com/office/spreadsheetml/2009/9/main" uri="{B025F937-C7B1-47D3-B67F-A62EFF666E3E}">
          <x14:id>{F5F0F74A-CC33-47C8-99C6-321267CB8D2E}</x14:id>
        </ext>
      </extLst>
    </cfRule>
  </conditionalFormatting>
  <conditionalFormatting sqref="J81:L85">
    <cfRule type="dataBar" priority="3">
      <dataBar>
        <cfvo type="min"/>
        <cfvo type="max"/>
        <color rgb="FF63C384"/>
      </dataBar>
      <extLst>
        <ext xmlns:x14="http://schemas.microsoft.com/office/spreadsheetml/2009/9/main" uri="{B025F937-C7B1-47D3-B67F-A62EFF666E3E}">
          <x14:id>{289446EB-619F-41A7-A063-549E992A4C09}</x14:id>
        </ext>
      </extLst>
    </cfRule>
  </conditionalFormatting>
  <conditionalFormatting sqref="D51:F55">
    <cfRule type="dataBar" priority="2">
      <dataBar>
        <cfvo type="min"/>
        <cfvo type="max"/>
        <color rgb="FF638EC6"/>
      </dataBar>
      <extLst>
        <ext xmlns:x14="http://schemas.microsoft.com/office/spreadsheetml/2009/9/main" uri="{B025F937-C7B1-47D3-B67F-A62EFF666E3E}">
          <x14:id>{C62E0FC7-959B-4B99-845B-D3A2DD2F7BD6}</x14:id>
        </ext>
      </extLst>
    </cfRule>
  </conditionalFormatting>
  <conditionalFormatting sqref="J51:L55">
    <cfRule type="dataBar" priority="1">
      <dataBar>
        <cfvo type="min"/>
        <cfvo type="max"/>
        <color rgb="FF63C384"/>
      </dataBar>
      <extLst>
        <ext xmlns:x14="http://schemas.microsoft.com/office/spreadsheetml/2009/9/main" uri="{B025F937-C7B1-47D3-B67F-A62EFF666E3E}">
          <x14:id>{AAD097FE-98D6-4A06-9713-735AC69048E0}</x14:id>
        </ext>
      </extLst>
    </cfRule>
  </conditionalFormatting>
  <pageMargins left="0.7" right="0.7" top="0.75" bottom="0.75" header="0.3" footer="0.3"/>
  <pageSetup orientation="portrait" r:id="rId1"/>
  <drawing r:id="rId2"/>
  <extLst>
    <ext xmlns:x14="http://schemas.microsoft.com/office/spreadsheetml/2009/9/main" uri="{78C0D931-6437-407d-A8EE-F0AAD7539E65}">
      <x14:conditionalFormattings>
        <x14:conditionalFormatting xmlns:xm="http://schemas.microsoft.com/office/excel/2006/main">
          <x14:cfRule type="dataBar" id="{D140D452-CF55-43D6-8C58-E21A7039F638}">
            <x14:dataBar minLength="0" maxLength="100" border="1" negativeBarBorderColorSameAsPositive="0">
              <x14:cfvo type="autoMin"/>
              <x14:cfvo type="autoMax"/>
              <x14:borderColor rgb="FF638EC6"/>
              <x14:negativeFillColor rgb="FFFF0000"/>
              <x14:negativeBorderColor rgb="FFFF0000"/>
              <x14:axisColor rgb="FF000000"/>
            </x14:dataBar>
          </x14:cfRule>
          <xm:sqref>D21:F25</xm:sqref>
        </x14:conditionalFormatting>
        <x14:conditionalFormatting xmlns:xm="http://schemas.microsoft.com/office/excel/2006/main">
          <x14:cfRule type="dataBar" id="{A7010244-0D4B-4A80-82C3-72139FE2D67A}">
            <x14:dataBar minLength="0" maxLength="100" border="1" negativeBarBorderColorSameAsPositive="0">
              <x14:cfvo type="autoMin"/>
              <x14:cfvo type="autoMax"/>
              <x14:borderColor rgb="FF63C384"/>
              <x14:negativeFillColor rgb="FFFF0000"/>
              <x14:negativeBorderColor rgb="FFFF0000"/>
              <x14:axisColor rgb="FF000000"/>
            </x14:dataBar>
          </x14:cfRule>
          <xm:sqref>J21:L25</xm:sqref>
        </x14:conditionalFormatting>
        <x14:conditionalFormatting xmlns:xm="http://schemas.microsoft.com/office/excel/2006/main">
          <x14:cfRule type="dataBar" id="{F5F0F74A-CC33-47C8-99C6-321267CB8D2E}">
            <x14:dataBar minLength="0" maxLength="100" border="1" negativeBarBorderColorSameAsPositive="0">
              <x14:cfvo type="autoMin"/>
              <x14:cfvo type="autoMax"/>
              <x14:borderColor rgb="FF638EC6"/>
              <x14:negativeFillColor rgb="FFFF0000"/>
              <x14:negativeBorderColor rgb="FFFF0000"/>
              <x14:axisColor rgb="FF000000"/>
            </x14:dataBar>
          </x14:cfRule>
          <xm:sqref>D81:F85</xm:sqref>
        </x14:conditionalFormatting>
        <x14:conditionalFormatting xmlns:xm="http://schemas.microsoft.com/office/excel/2006/main">
          <x14:cfRule type="dataBar" id="{289446EB-619F-41A7-A063-549E992A4C09}">
            <x14:dataBar minLength="0" maxLength="100" border="1" negativeBarBorderColorSameAsPositive="0">
              <x14:cfvo type="autoMin"/>
              <x14:cfvo type="autoMax"/>
              <x14:borderColor rgb="FF63C384"/>
              <x14:negativeFillColor rgb="FFFF0000"/>
              <x14:negativeBorderColor rgb="FFFF0000"/>
              <x14:axisColor rgb="FF000000"/>
            </x14:dataBar>
          </x14:cfRule>
          <xm:sqref>J81:L85</xm:sqref>
        </x14:conditionalFormatting>
        <x14:conditionalFormatting xmlns:xm="http://schemas.microsoft.com/office/excel/2006/main">
          <x14:cfRule type="dataBar" id="{C62E0FC7-959B-4B99-845B-D3A2DD2F7BD6}">
            <x14:dataBar minLength="0" maxLength="100" border="1" negativeBarBorderColorSameAsPositive="0">
              <x14:cfvo type="autoMin"/>
              <x14:cfvo type="autoMax"/>
              <x14:borderColor rgb="FF638EC6"/>
              <x14:negativeFillColor rgb="FFFF0000"/>
              <x14:negativeBorderColor rgb="FFFF0000"/>
              <x14:axisColor rgb="FF000000"/>
            </x14:dataBar>
          </x14:cfRule>
          <xm:sqref>D51:F55</xm:sqref>
        </x14:conditionalFormatting>
        <x14:conditionalFormatting xmlns:xm="http://schemas.microsoft.com/office/excel/2006/main">
          <x14:cfRule type="dataBar" id="{AAD097FE-98D6-4A06-9713-735AC69048E0}">
            <x14:dataBar minLength="0" maxLength="100" border="1" negativeBarBorderColorSameAsPositive="0">
              <x14:cfvo type="autoMin"/>
              <x14:cfvo type="autoMax"/>
              <x14:borderColor rgb="FF63C384"/>
              <x14:negativeFillColor rgb="FFFF0000"/>
              <x14:negativeBorderColor rgb="FFFF0000"/>
              <x14:axisColor rgb="FF000000"/>
            </x14:dataBar>
          </x14:cfRule>
          <xm:sqref>J51:L55</xm:sqref>
        </x14:conditionalFormatting>
      </x14:conditionalFormattings>
    </ext>
    <ext xmlns:x14="http://schemas.microsoft.com/office/spreadsheetml/2009/9/main" uri="{CCE6A557-97BC-4b89-ADB6-D9C93CAAB3DF}">
      <x14:dataValidations xmlns:xm="http://schemas.microsoft.com/office/excel/2006/main" count="2">
        <x14:dataValidation type="list" allowBlank="1" showInputMessage="1" showErrorMessage="1" xr:uid="{5C1D6F2A-1856-4416-BB6C-ADB6C13C602D}">
          <x14:formula1>
            <xm:f>List_Options!$B$2:$B$13</xm:f>
          </x14:formula1>
          <xm:sqref>C8 C16</xm:sqref>
        </x14:dataValidation>
        <x14:dataValidation type="list" allowBlank="1" showInputMessage="1" showErrorMessage="1" xr:uid="{1BD72E23-3FAD-4DF5-8C5D-A1D7D60A2985}">
          <x14:formula1>
            <xm:f>List_Options!$A$2:$A$12</xm:f>
          </x14:formula1>
          <xm:sqref>C7</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7E294B-60BA-4FED-8465-44DC13ADF919}">
  <dimension ref="A1:B6"/>
  <sheetViews>
    <sheetView zoomScale="190" zoomScaleNormal="190" workbookViewId="0">
      <selection activeCell="B13" sqref="B13"/>
    </sheetView>
  </sheetViews>
  <sheetFormatPr defaultRowHeight="13.8" x14ac:dyDescent="0.25"/>
  <cols>
    <col min="1" max="1" width="25.5546875" style="2" customWidth="1"/>
    <col min="2" max="2" width="26.88671875" style="2" customWidth="1"/>
    <col min="3" max="16384" width="8.88671875" style="2"/>
  </cols>
  <sheetData>
    <row r="1" spans="1:2" x14ac:dyDescent="0.25">
      <c r="A1" s="2" t="s">
        <v>504</v>
      </c>
      <c r="B1" s="2" t="s">
        <v>505</v>
      </c>
    </row>
    <row r="2" spans="1:2" x14ac:dyDescent="0.25">
      <c r="A2" s="2" t="s">
        <v>524</v>
      </c>
      <c r="B2" s="2" t="s">
        <v>525</v>
      </c>
    </row>
    <row r="3" spans="1:2" x14ac:dyDescent="0.25">
      <c r="A3" s="2" t="s">
        <v>526</v>
      </c>
      <c r="B3" s="2" t="s">
        <v>526</v>
      </c>
    </row>
    <row r="4" spans="1:2" x14ac:dyDescent="0.25">
      <c r="A4" s="2" t="s">
        <v>527</v>
      </c>
      <c r="B4" s="2" t="s">
        <v>527</v>
      </c>
    </row>
    <row r="5" spans="1:2" x14ac:dyDescent="0.25">
      <c r="A5" s="2" t="s">
        <v>528</v>
      </c>
      <c r="B5" s="2" t="s">
        <v>528</v>
      </c>
    </row>
    <row r="6" spans="1:2" x14ac:dyDescent="0.25">
      <c r="A6" s="2" t="s">
        <v>529</v>
      </c>
      <c r="B6" s="2" t="s">
        <v>529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1A90C1-FA82-4BEF-9A76-47396F05ACE3}">
  <sheetPr codeName="Sheet6">
    <tabColor rgb="FF105BD8"/>
  </sheetPr>
  <dimension ref="A1:W109"/>
  <sheetViews>
    <sheetView showGridLines="0" zoomScale="70" zoomScaleNormal="70" workbookViewId="0">
      <selection activeCell="N38" sqref="N38"/>
    </sheetView>
  </sheetViews>
  <sheetFormatPr defaultColWidth="8.88671875" defaultRowHeight="13.8" x14ac:dyDescent="0.25"/>
  <cols>
    <col min="1" max="1" width="54.33203125" style="134" bestFit="1" customWidth="1"/>
    <col min="2" max="2" width="27.88671875" style="134" bestFit="1" customWidth="1"/>
    <col min="3" max="3" width="19.44140625" style="134" customWidth="1"/>
    <col min="4" max="4" width="12.33203125" style="134" bestFit="1" customWidth="1"/>
    <col min="5" max="5" width="16.21875" style="134" customWidth="1"/>
    <col min="6" max="6" width="12.44140625" style="134" bestFit="1" customWidth="1"/>
    <col min="7" max="7" width="12.6640625" style="134" bestFit="1" customWidth="1"/>
    <col min="8" max="9" width="15.6640625" style="134" bestFit="1" customWidth="1"/>
    <col min="10" max="10" width="16.109375" style="134" customWidth="1"/>
    <col min="11" max="11" width="16" style="134" customWidth="1"/>
    <col min="12" max="12" width="16.21875" style="134" customWidth="1"/>
    <col min="13" max="13" width="15.88671875" style="134" customWidth="1"/>
    <col min="14" max="14" width="16.44140625" style="134" bestFit="1" customWidth="1"/>
    <col min="15" max="15" width="23.88671875" style="134" bestFit="1" customWidth="1"/>
    <col min="16" max="16" width="27.33203125" style="134" bestFit="1" customWidth="1"/>
    <col min="17" max="17" width="18.109375" style="134" bestFit="1" customWidth="1"/>
    <col min="18" max="18" width="17.44140625" style="134" bestFit="1" customWidth="1"/>
    <col min="19" max="19" width="27.33203125" style="218" bestFit="1" customWidth="1"/>
    <col min="20" max="20" width="12.33203125" style="134" bestFit="1" customWidth="1"/>
    <col min="21" max="21" width="9.6640625" style="134" customWidth="1"/>
    <col min="22" max="22" width="9.5546875" style="134" bestFit="1" customWidth="1"/>
    <col min="23" max="23" width="11.21875" style="134" bestFit="1" customWidth="1"/>
    <col min="24" max="16384" width="8.88671875" style="134"/>
  </cols>
  <sheetData>
    <row r="1" spans="1:23" s="131" customFormat="1" x14ac:dyDescent="0.25">
      <c r="A1" s="137"/>
      <c r="B1" s="13"/>
      <c r="C1" s="137"/>
      <c r="D1" s="137"/>
      <c r="E1" s="137"/>
      <c r="F1" s="137"/>
      <c r="G1" s="138"/>
      <c r="H1" s="137"/>
      <c r="I1" s="137"/>
      <c r="J1" s="137"/>
      <c r="K1" s="137"/>
      <c r="M1" s="137"/>
      <c r="N1" s="137"/>
      <c r="O1" s="137"/>
      <c r="P1" s="137"/>
      <c r="Q1" s="137"/>
      <c r="R1" s="137"/>
      <c r="S1" s="80"/>
    </row>
    <row r="2" spans="1:23" s="132" customFormat="1" ht="21" x14ac:dyDescent="0.4">
      <c r="A2" s="478" t="s">
        <v>540</v>
      </c>
      <c r="B2" s="478"/>
      <c r="C2" s="478"/>
      <c r="D2" s="478"/>
      <c r="E2" s="478"/>
      <c r="F2" s="478"/>
      <c r="G2" s="478"/>
      <c r="H2" s="478"/>
      <c r="I2" s="478"/>
      <c r="J2" s="478"/>
      <c r="K2" s="478"/>
      <c r="L2" s="478"/>
      <c r="M2" s="478"/>
      <c r="N2" s="478"/>
      <c r="O2" s="478"/>
      <c r="S2" s="217"/>
    </row>
    <row r="3" spans="1:23" s="132" customFormat="1" x14ac:dyDescent="0.25">
      <c r="A3" s="443"/>
      <c r="B3" s="444"/>
      <c r="C3" s="445"/>
      <c r="G3" s="446"/>
      <c r="S3" s="217"/>
    </row>
    <row r="4" spans="1:23" ht="16.2" thickBot="1" x14ac:dyDescent="0.35">
      <c r="A4" s="195" t="s">
        <v>327</v>
      </c>
      <c r="N4"/>
      <c r="O4"/>
      <c r="P4"/>
      <c r="Q4"/>
    </row>
    <row r="5" spans="1:23" s="133" customFormat="1" ht="14.4" customHeight="1" x14ac:dyDescent="0.3">
      <c r="A5" s="480" t="s">
        <v>316</v>
      </c>
      <c r="B5" s="473"/>
      <c r="C5" s="473" t="s">
        <v>72</v>
      </c>
      <c r="D5" s="473"/>
      <c r="E5" s="473"/>
      <c r="F5" s="473" t="s">
        <v>73</v>
      </c>
      <c r="G5" s="473"/>
      <c r="H5" s="473"/>
      <c r="I5" s="473" t="s">
        <v>72</v>
      </c>
      <c r="J5" s="473"/>
      <c r="K5" s="479"/>
      <c r="L5"/>
      <c r="M5"/>
      <c r="N5" s="437" t="s">
        <v>506</v>
      </c>
      <c r="O5" s="438" t="s">
        <v>348</v>
      </c>
      <c r="P5"/>
      <c r="Q5"/>
    </row>
    <row r="6" spans="1:23" s="132" customFormat="1" ht="14.4" x14ac:dyDescent="0.3">
      <c r="A6" s="481"/>
      <c r="B6" s="482"/>
      <c r="C6" s="370" t="s">
        <v>7</v>
      </c>
      <c r="D6" s="370" t="s">
        <v>76</v>
      </c>
      <c r="E6" s="370" t="s">
        <v>6</v>
      </c>
      <c r="F6" s="215" t="s">
        <v>7</v>
      </c>
      <c r="G6" s="215" t="s">
        <v>76</v>
      </c>
      <c r="H6" s="215" t="s">
        <v>6</v>
      </c>
      <c r="I6" s="215" t="s">
        <v>7</v>
      </c>
      <c r="J6" s="215" t="s">
        <v>76</v>
      </c>
      <c r="K6" s="141" t="s">
        <v>6</v>
      </c>
      <c r="L6"/>
      <c r="M6"/>
      <c r="N6" s="439" t="s">
        <v>346</v>
      </c>
      <c r="O6" s="122">
        <f>Main!C12</f>
        <v>15</v>
      </c>
      <c r="P6"/>
      <c r="Q6"/>
    </row>
    <row r="7" spans="1:23" ht="14.4" x14ac:dyDescent="0.3">
      <c r="A7" s="21" t="s">
        <v>74</v>
      </c>
      <c r="B7" s="213" t="s">
        <v>75</v>
      </c>
      <c r="C7" s="254">
        <v>22</v>
      </c>
      <c r="D7" s="254">
        <v>24</v>
      </c>
      <c r="E7" s="254">
        <v>26</v>
      </c>
      <c r="F7" s="15">
        <v>49</v>
      </c>
      <c r="G7" s="15">
        <v>67</v>
      </c>
      <c r="H7" s="15">
        <v>85</v>
      </c>
      <c r="I7" s="139">
        <f>(C7-$B$26)/$B$26</f>
        <v>-0.55102040816326525</v>
      </c>
      <c r="J7" s="139">
        <f>(D7-$B$26)/$B$26</f>
        <v>-0.51020408163265307</v>
      </c>
      <c r="K7" s="47">
        <f>(E7-$B$26)/$B$26</f>
        <v>-0.46938775510204084</v>
      </c>
      <c r="L7"/>
      <c r="M7"/>
      <c r="N7" s="439" t="s">
        <v>347</v>
      </c>
      <c r="O7" s="122">
        <f>Main!C13</f>
        <v>40</v>
      </c>
      <c r="P7"/>
      <c r="Q7"/>
    </row>
    <row r="8" spans="1:23" ht="14.4" x14ac:dyDescent="0.3">
      <c r="A8" s="21"/>
      <c r="B8" s="213" t="s">
        <v>77</v>
      </c>
      <c r="C8" s="254">
        <v>19</v>
      </c>
      <c r="D8" s="254">
        <v>21</v>
      </c>
      <c r="E8" s="254">
        <v>23</v>
      </c>
      <c r="F8" s="15">
        <v>49</v>
      </c>
      <c r="G8" s="15">
        <v>67</v>
      </c>
      <c r="H8" s="15">
        <v>85</v>
      </c>
      <c r="I8" s="139">
        <f>(C8-$B$38)/$B$38</f>
        <v>-0.69841269841269837</v>
      </c>
      <c r="J8" s="139">
        <f>(D8-$B$38)/$B$38</f>
        <v>-0.66666666666666663</v>
      </c>
      <c r="K8" s="47">
        <f>(E8-$B$38)/$B$38</f>
        <v>-0.63492063492063489</v>
      </c>
      <c r="L8"/>
      <c r="M8"/>
      <c r="N8"/>
      <c r="O8"/>
      <c r="P8"/>
      <c r="Q8"/>
    </row>
    <row r="9" spans="1:23" ht="14.4" x14ac:dyDescent="0.3">
      <c r="A9" s="21"/>
      <c r="B9" s="213" t="s">
        <v>318</v>
      </c>
      <c r="C9" s="254">
        <v>33</v>
      </c>
      <c r="D9" s="254">
        <v>39</v>
      </c>
      <c r="E9" s="254">
        <v>45</v>
      </c>
      <c r="F9" s="15">
        <v>20</v>
      </c>
      <c r="G9" s="15">
        <v>32</v>
      </c>
      <c r="H9" s="15">
        <v>45</v>
      </c>
      <c r="I9" s="139">
        <f>(C9-($B$45))/($B$45)</f>
        <v>15.5</v>
      </c>
      <c r="J9" s="139">
        <f>(D9-($B$45))/($B$45)</f>
        <v>18.5</v>
      </c>
      <c r="K9" s="47">
        <f>(E9-($B$45))/($B$45)</f>
        <v>21.5</v>
      </c>
      <c r="L9"/>
      <c r="M9"/>
      <c r="N9"/>
      <c r="O9"/>
      <c r="P9"/>
      <c r="Q9"/>
    </row>
    <row r="10" spans="1:23" ht="14.4" x14ac:dyDescent="0.3">
      <c r="A10" s="212" t="s">
        <v>78</v>
      </c>
      <c r="B10" s="213"/>
      <c r="C10" s="254">
        <v>1</v>
      </c>
      <c r="D10" s="254">
        <v>8</v>
      </c>
      <c r="E10" s="254">
        <v>16</v>
      </c>
      <c r="F10" s="15">
        <v>1</v>
      </c>
      <c r="G10" s="15">
        <v>8</v>
      </c>
      <c r="H10" s="15">
        <v>16</v>
      </c>
      <c r="I10" s="169" t="s">
        <v>10</v>
      </c>
      <c r="J10" s="169" t="s">
        <v>10</v>
      </c>
      <c r="K10" s="188" t="s">
        <v>10</v>
      </c>
      <c r="L10"/>
      <c r="M10"/>
      <c r="N10"/>
      <c r="O10"/>
      <c r="P10"/>
      <c r="Q10"/>
    </row>
    <row r="11" spans="1:23" ht="14.4" x14ac:dyDescent="0.3">
      <c r="A11" s="483" t="s">
        <v>79</v>
      </c>
      <c r="B11" s="484"/>
      <c r="C11" s="263">
        <v>702</v>
      </c>
      <c r="D11" s="263">
        <v>250000</v>
      </c>
      <c r="E11" s="263">
        <v>525600</v>
      </c>
      <c r="F11" s="181">
        <v>525600</v>
      </c>
      <c r="G11" s="181">
        <v>750000</v>
      </c>
      <c r="H11" s="181">
        <v>1000000</v>
      </c>
      <c r="I11" s="169" t="s">
        <v>10</v>
      </c>
      <c r="J11" s="169" t="s">
        <v>10</v>
      </c>
      <c r="K11" s="188" t="s">
        <v>10</v>
      </c>
      <c r="L11"/>
      <c r="M11"/>
      <c r="N11"/>
      <c r="O11"/>
      <c r="P11"/>
      <c r="Q11"/>
    </row>
    <row r="12" spans="1:23" ht="14.4" x14ac:dyDescent="0.3">
      <c r="A12" s="483" t="s">
        <v>321</v>
      </c>
      <c r="B12" s="484"/>
      <c r="C12" s="263">
        <f>C11/SUM(C7:C9)</f>
        <v>9.486486486486486</v>
      </c>
      <c r="D12" s="263">
        <f>D11/SUM(D7:D9)</f>
        <v>2976.1904761904761</v>
      </c>
      <c r="E12" s="263">
        <f>E11/SUM(E7:E9)</f>
        <v>5591.489361702128</v>
      </c>
      <c r="F12" s="181">
        <f>F11/(SUM(F7:F9))</f>
        <v>4454.2372881355932</v>
      </c>
      <c r="G12" s="181">
        <f>G11/(SUM(G7:G9))</f>
        <v>4518.0722891566265</v>
      </c>
      <c r="H12" s="181">
        <f>H11/(SUM(H7:H9))</f>
        <v>4651.1627906976746</v>
      </c>
      <c r="I12" s="169" t="s">
        <v>10</v>
      </c>
      <c r="J12" s="169" t="s">
        <v>10</v>
      </c>
      <c r="K12" s="188" t="s">
        <v>10</v>
      </c>
      <c r="L12"/>
      <c r="M12"/>
      <c r="N12"/>
      <c r="O12"/>
      <c r="P12"/>
      <c r="Q12"/>
    </row>
    <row r="13" spans="1:23" ht="15" thickBot="1" x14ac:dyDescent="0.35">
      <c r="A13" s="485" t="s">
        <v>322</v>
      </c>
      <c r="B13" s="486"/>
      <c r="C13" s="264">
        <f t="shared" ref="C13:H13" si="0">C11/(SUM(C7:C9)*C10)</f>
        <v>9.486486486486486</v>
      </c>
      <c r="D13" s="264">
        <f t="shared" si="0"/>
        <v>372.02380952380952</v>
      </c>
      <c r="E13" s="264">
        <f t="shared" si="0"/>
        <v>349.468085106383</v>
      </c>
      <c r="F13" s="140">
        <f t="shared" si="0"/>
        <v>4454.2372881355932</v>
      </c>
      <c r="G13" s="140">
        <f t="shared" si="0"/>
        <v>564.75903614457832</v>
      </c>
      <c r="H13" s="140">
        <f t="shared" si="0"/>
        <v>290.69767441860466</v>
      </c>
      <c r="I13" s="189" t="s">
        <v>10</v>
      </c>
      <c r="J13" s="189" t="s">
        <v>10</v>
      </c>
      <c r="K13" s="190" t="s">
        <v>10</v>
      </c>
      <c r="L13"/>
      <c r="M13"/>
      <c r="N13"/>
      <c r="O13"/>
      <c r="P13"/>
      <c r="Q13"/>
    </row>
    <row r="14" spans="1:23" ht="14.4" x14ac:dyDescent="0.3">
      <c r="A14" s="179"/>
      <c r="B14" s="179"/>
      <c r="C14" s="180"/>
      <c r="D14" s="180"/>
      <c r="E14" s="180"/>
      <c r="F14" s="180"/>
      <c r="G14" s="180"/>
      <c r="H14" s="180"/>
      <c r="I14" s="180"/>
      <c r="J14" s="180"/>
      <c r="K14" s="180"/>
      <c r="L14"/>
      <c r="M14"/>
      <c r="N14"/>
      <c r="O14"/>
      <c r="P14"/>
      <c r="Q14"/>
    </row>
    <row r="15" spans="1:23" ht="14.4" x14ac:dyDescent="0.3">
      <c r="B15" s="177"/>
      <c r="C15" s="174"/>
      <c r="D15" s="174"/>
      <c r="E15" s="174"/>
      <c r="F15" s="174"/>
      <c r="G15" s="174"/>
      <c r="H15" s="174"/>
      <c r="I15" s="178"/>
      <c r="M15" s="193"/>
      <c r="N15"/>
      <c r="O15"/>
      <c r="P15"/>
      <c r="Q15"/>
    </row>
    <row r="16" spans="1:23" ht="16.2" thickBot="1" x14ac:dyDescent="0.35">
      <c r="A16" s="195" t="s">
        <v>328</v>
      </c>
      <c r="N16"/>
      <c r="O16"/>
      <c r="P16"/>
      <c r="Q16"/>
      <c r="T16"/>
      <c r="U16"/>
      <c r="V16"/>
      <c r="W16"/>
    </row>
    <row r="17" spans="1:23" ht="14.4" x14ac:dyDescent="0.3">
      <c r="A17" s="368" t="s">
        <v>91</v>
      </c>
      <c r="B17" s="473" t="s">
        <v>93</v>
      </c>
      <c r="C17" s="473"/>
      <c r="D17" s="473"/>
      <c r="E17" s="473"/>
      <c r="F17" s="473"/>
      <c r="G17" s="470" t="s">
        <v>323</v>
      </c>
      <c r="H17" s="470"/>
      <c r="I17" s="470"/>
      <c r="J17" s="470" t="s">
        <v>324</v>
      </c>
      <c r="K17" s="470"/>
      <c r="L17" s="470"/>
      <c r="M17"/>
      <c r="N17"/>
      <c r="O17"/>
      <c r="P17"/>
      <c r="Q17"/>
      <c r="T17"/>
      <c r="U17"/>
      <c r="V17"/>
      <c r="W17"/>
    </row>
    <row r="18" spans="1:23" ht="14.4" x14ac:dyDescent="0.3">
      <c r="A18" s="369" t="str">
        <f>Current!I1</f>
        <v>Use Case</v>
      </c>
      <c r="B18" s="370" t="str">
        <f>Current!J1</f>
        <v>Count</v>
      </c>
      <c r="C18" s="370" t="e">
        <f>Current!#REF!</f>
        <v>#REF!</v>
      </c>
      <c r="D18" s="370" t="s">
        <v>7</v>
      </c>
      <c r="E18" s="370" t="s">
        <v>76</v>
      </c>
      <c r="F18" s="370" t="s">
        <v>6</v>
      </c>
      <c r="G18" s="176" t="s">
        <v>7</v>
      </c>
      <c r="H18" s="176" t="s">
        <v>76</v>
      </c>
      <c r="I18" s="176" t="s">
        <v>6</v>
      </c>
      <c r="J18" s="176" t="s">
        <v>7</v>
      </c>
      <c r="K18" s="176" t="s">
        <v>76</v>
      </c>
      <c r="L18" s="176" t="s">
        <v>6</v>
      </c>
      <c r="M18"/>
      <c r="N18"/>
      <c r="O18"/>
      <c r="P18"/>
      <c r="Q18"/>
      <c r="R18"/>
      <c r="S18" s="219"/>
      <c r="T18"/>
      <c r="U18"/>
      <c r="V18"/>
      <c r="W18"/>
    </row>
    <row r="19" spans="1:23" ht="14.4" x14ac:dyDescent="0.3">
      <c r="A19" s="369" t="str">
        <f>Current!I2</f>
        <v>Human Space Flight</v>
      </c>
      <c r="B19" s="273">
        <f>Current!J2</f>
        <v>2</v>
      </c>
      <c r="C19" s="255">
        <f t="shared" ref="C19:C25" si="1">B19/$B$26</f>
        <v>4.0816326530612242E-2</v>
      </c>
      <c r="D19" s="269">
        <f>ROUND($B19*(1+I$7),0)</f>
        <v>1</v>
      </c>
      <c r="E19" s="269">
        <f>ROUND($B19*(1+J$7),0)</f>
        <v>1</v>
      </c>
      <c r="F19" s="269">
        <f>ROUND($B19*(1+K$7),0)</f>
        <v>1</v>
      </c>
      <c r="G19" s="237">
        <f>D19*Current!$L$13</f>
        <v>16336.733333333334</v>
      </c>
      <c r="H19" s="237">
        <f>E19*Current!$L$13</f>
        <v>16336.733333333334</v>
      </c>
      <c r="I19" s="237">
        <f>F19*Current!$L$13</f>
        <v>16336.733333333334</v>
      </c>
      <c r="J19" s="182">
        <f>G19*$O$6</f>
        <v>245051</v>
      </c>
      <c r="K19" s="182">
        <f t="shared" ref="K19:L19" si="2">H19*$O$6</f>
        <v>245051</v>
      </c>
      <c r="L19" s="182">
        <f t="shared" si="2"/>
        <v>245051</v>
      </c>
      <c r="M19"/>
      <c r="N19"/>
      <c r="O19"/>
      <c r="P19"/>
      <c r="Q19"/>
      <c r="S19" s="171"/>
    </row>
    <row r="20" spans="1:23" ht="14.4" x14ac:dyDescent="0.3">
      <c r="A20" s="369" t="str">
        <f>Current!I3</f>
        <v>Near Earth Robotic - LEO Science</v>
      </c>
      <c r="B20" s="273">
        <f>Current!J3</f>
        <v>32</v>
      </c>
      <c r="C20" s="255">
        <f t="shared" si="1"/>
        <v>0.65306122448979587</v>
      </c>
      <c r="D20" s="269">
        <f t="shared" ref="D20:D25" si="3">ROUND($B20*(1+I$7),0)</f>
        <v>14</v>
      </c>
      <c r="E20" s="269">
        <f t="shared" ref="E20:F25" si="4">ROUND($B20*(1+J$7),0)</f>
        <v>16</v>
      </c>
      <c r="F20" s="269">
        <f t="shared" si="4"/>
        <v>17</v>
      </c>
      <c r="G20" s="237">
        <f>D20*Current!$L$13</f>
        <v>228714.26666666666</v>
      </c>
      <c r="H20" s="237">
        <f>E20*Current!$L$13</f>
        <v>261387.73333333334</v>
      </c>
      <c r="I20" s="237">
        <f>F20*Current!$L$13</f>
        <v>277724.46666666667</v>
      </c>
      <c r="J20" s="182">
        <f t="shared" ref="J20:J25" si="5">G20*$O$6</f>
        <v>3430714</v>
      </c>
      <c r="K20" s="182">
        <f t="shared" ref="K20:K25" si="6">H20*$O$6</f>
        <v>3920816</v>
      </c>
      <c r="L20" s="182">
        <f t="shared" ref="L20:L25" si="7">I20*$O$6</f>
        <v>4165867</v>
      </c>
      <c r="M20"/>
      <c r="N20"/>
      <c r="O20"/>
      <c r="S20" s="171"/>
    </row>
    <row r="21" spans="1:23" ht="14.4" x14ac:dyDescent="0.3">
      <c r="A21" s="369" t="str">
        <f>Current!I4</f>
        <v>Near Earth Robotic - GEO and Near Earth</v>
      </c>
      <c r="B21" s="273">
        <f>Current!J4</f>
        <v>15</v>
      </c>
      <c r="C21" s="255">
        <f t="shared" si="1"/>
        <v>0.30612244897959184</v>
      </c>
      <c r="D21" s="269">
        <f t="shared" si="3"/>
        <v>7</v>
      </c>
      <c r="E21" s="269">
        <f t="shared" si="4"/>
        <v>7</v>
      </c>
      <c r="F21" s="269">
        <f t="shared" si="4"/>
        <v>8</v>
      </c>
      <c r="G21" s="237">
        <f>D21*Current!$L$13</f>
        <v>114357.13333333333</v>
      </c>
      <c r="H21" s="237">
        <f>E21*Current!$L$13</f>
        <v>114357.13333333333</v>
      </c>
      <c r="I21" s="237">
        <f>F21*Current!$L$13</f>
        <v>130693.86666666667</v>
      </c>
      <c r="J21" s="182">
        <f t="shared" si="5"/>
        <v>1715357</v>
      </c>
      <c r="K21" s="182">
        <f t="shared" si="6"/>
        <v>1715357</v>
      </c>
      <c r="L21" s="182">
        <f t="shared" si="7"/>
        <v>1960408</v>
      </c>
      <c r="M21"/>
      <c r="N21"/>
      <c r="O21"/>
      <c r="S21" s="171"/>
    </row>
    <row r="22" spans="1:23" ht="14.4" x14ac:dyDescent="0.3">
      <c r="A22" s="369" t="str">
        <f>Current!I5</f>
        <v>Deep Space Robotic</v>
      </c>
      <c r="B22" s="273">
        <f>Current!J5</f>
        <v>0</v>
      </c>
      <c r="C22" s="255">
        <f t="shared" si="1"/>
        <v>0</v>
      </c>
      <c r="D22" s="269">
        <f t="shared" si="3"/>
        <v>0</v>
      </c>
      <c r="E22" s="269">
        <f t="shared" si="4"/>
        <v>0</v>
      </c>
      <c r="F22" s="269">
        <f t="shared" si="4"/>
        <v>0</v>
      </c>
      <c r="G22" s="237">
        <f>D22*Current!$L$13</f>
        <v>0</v>
      </c>
      <c r="H22" s="237">
        <f>E22*Current!$L$13</f>
        <v>0</v>
      </c>
      <c r="I22" s="237">
        <f>F22*Current!$L$13</f>
        <v>0</v>
      </c>
      <c r="J22" s="182">
        <f t="shared" si="5"/>
        <v>0</v>
      </c>
      <c r="K22" s="182">
        <f t="shared" si="6"/>
        <v>0</v>
      </c>
      <c r="L22" s="182">
        <f t="shared" si="7"/>
        <v>0</v>
      </c>
      <c r="M22"/>
      <c r="N22"/>
      <c r="O22"/>
      <c r="S22" s="171"/>
    </row>
    <row r="23" spans="1:23" ht="14.4" x14ac:dyDescent="0.3">
      <c r="A23" s="369" t="str">
        <f>Current!I6</f>
        <v>Near Earth Robotic - Low Latency &amp; Complex Needs</v>
      </c>
      <c r="B23" s="273">
        <f>Current!J6</f>
        <v>0</v>
      </c>
      <c r="C23" s="255">
        <f t="shared" si="1"/>
        <v>0</v>
      </c>
      <c r="D23" s="269">
        <f t="shared" si="3"/>
        <v>0</v>
      </c>
      <c r="E23" s="269">
        <f t="shared" si="4"/>
        <v>0</v>
      </c>
      <c r="F23" s="269">
        <f t="shared" si="4"/>
        <v>0</v>
      </c>
      <c r="G23" s="237">
        <f>D23*Current!$L$13</f>
        <v>0</v>
      </c>
      <c r="H23" s="237">
        <f>E23*Current!$L$13</f>
        <v>0</v>
      </c>
      <c r="I23" s="237">
        <f>F23*Current!$L$13</f>
        <v>0</v>
      </c>
      <c r="J23" s="182">
        <f t="shared" si="5"/>
        <v>0</v>
      </c>
      <c r="K23" s="182">
        <f t="shared" si="6"/>
        <v>0</v>
      </c>
      <c r="L23" s="182">
        <f t="shared" si="7"/>
        <v>0</v>
      </c>
      <c r="M23"/>
      <c r="N23"/>
      <c r="O23"/>
      <c r="S23" s="171"/>
    </row>
    <row r="24" spans="1:23" ht="14.4" x14ac:dyDescent="0.3">
      <c r="A24" s="369" t="str">
        <f>Current!I7</f>
        <v>Mission Operations</v>
      </c>
      <c r="B24" s="273">
        <f>Current!J7</f>
        <v>0</v>
      </c>
      <c r="C24" s="255">
        <f t="shared" si="1"/>
        <v>0</v>
      </c>
      <c r="D24" s="269">
        <f t="shared" si="3"/>
        <v>0</v>
      </c>
      <c r="E24" s="269">
        <f t="shared" si="4"/>
        <v>0</v>
      </c>
      <c r="F24" s="269">
        <f t="shared" si="4"/>
        <v>0</v>
      </c>
      <c r="G24" s="237">
        <f>D24*Current!$L$13</f>
        <v>0</v>
      </c>
      <c r="H24" s="237">
        <f>E24*Current!$L$13</f>
        <v>0</v>
      </c>
      <c r="I24" s="237">
        <f>F24*Current!$L$13</f>
        <v>0</v>
      </c>
      <c r="J24" s="182">
        <f t="shared" si="5"/>
        <v>0</v>
      </c>
      <c r="K24" s="182">
        <f t="shared" si="6"/>
        <v>0</v>
      </c>
      <c r="L24" s="182">
        <f t="shared" si="7"/>
        <v>0</v>
      </c>
      <c r="M24"/>
      <c r="N24"/>
      <c r="O24"/>
      <c r="S24" s="171"/>
    </row>
    <row r="25" spans="1:23" ht="14.4" x14ac:dyDescent="0.3">
      <c r="A25" s="369" t="str">
        <f>Current!I9</f>
        <v>Terrestrial &amp; Aerial</v>
      </c>
      <c r="B25" s="273">
        <f>Current!J9</f>
        <v>0</v>
      </c>
      <c r="C25" s="255">
        <f t="shared" si="1"/>
        <v>0</v>
      </c>
      <c r="D25" s="269">
        <f t="shared" si="3"/>
        <v>0</v>
      </c>
      <c r="E25" s="269">
        <f t="shared" si="4"/>
        <v>0</v>
      </c>
      <c r="F25" s="269">
        <f t="shared" si="4"/>
        <v>0</v>
      </c>
      <c r="G25" s="237">
        <f>D25*Current!$L$13</f>
        <v>0</v>
      </c>
      <c r="H25" s="237">
        <f>E25*Current!$L$13</f>
        <v>0</v>
      </c>
      <c r="I25" s="237">
        <f>F25*Current!$L$13</f>
        <v>0</v>
      </c>
      <c r="J25" s="182">
        <f t="shared" si="5"/>
        <v>0</v>
      </c>
      <c r="K25" s="182">
        <f t="shared" si="6"/>
        <v>0</v>
      </c>
      <c r="L25" s="182">
        <f t="shared" si="7"/>
        <v>0</v>
      </c>
      <c r="M25"/>
      <c r="N25"/>
      <c r="O25"/>
    </row>
    <row r="26" spans="1:23" ht="14.4" customHeight="1" thickBot="1" x14ac:dyDescent="0.35">
      <c r="A26" s="185" t="s">
        <v>319</v>
      </c>
      <c r="B26" s="155">
        <f>SUM(B19:B24,B25)</f>
        <v>49</v>
      </c>
      <c r="C26" s="142">
        <f t="shared" ref="C26:L26" si="8">SUM(C19:C25)</f>
        <v>1</v>
      </c>
      <c r="D26" s="167">
        <f t="shared" si="8"/>
        <v>22</v>
      </c>
      <c r="E26" s="167">
        <f t="shared" si="8"/>
        <v>24</v>
      </c>
      <c r="F26" s="167">
        <f t="shared" si="8"/>
        <v>26</v>
      </c>
      <c r="G26" s="167">
        <f t="shared" si="8"/>
        <v>359408.1333333333</v>
      </c>
      <c r="H26" s="167">
        <f t="shared" si="8"/>
        <v>392081.6</v>
      </c>
      <c r="I26" s="167">
        <f t="shared" si="8"/>
        <v>424755.06666666665</v>
      </c>
      <c r="J26" s="167">
        <f t="shared" si="8"/>
        <v>5391122</v>
      </c>
      <c r="K26" s="167">
        <f>SUM(K19:K25)</f>
        <v>5881224</v>
      </c>
      <c r="L26" s="167">
        <f t="shared" si="8"/>
        <v>6371326</v>
      </c>
      <c r="M26"/>
      <c r="N26"/>
      <c r="O26"/>
    </row>
    <row r="28" spans="1:23" ht="14.4" customHeight="1" thickBot="1" x14ac:dyDescent="0.35">
      <c r="A28" s="195" t="s">
        <v>329</v>
      </c>
    </row>
    <row r="29" spans="1:23" ht="14.4" x14ac:dyDescent="0.3">
      <c r="A29" s="175" t="s">
        <v>91</v>
      </c>
      <c r="B29" s="473" t="s">
        <v>313</v>
      </c>
      <c r="C29" s="473"/>
      <c r="D29" s="473"/>
      <c r="E29" s="473"/>
      <c r="F29" s="473"/>
      <c r="G29" s="470" t="s">
        <v>323</v>
      </c>
      <c r="H29" s="470"/>
      <c r="I29" s="470"/>
      <c r="J29" s="470" t="s">
        <v>325</v>
      </c>
      <c r="K29" s="470"/>
      <c r="L29" s="470"/>
      <c r="M29"/>
      <c r="N29"/>
      <c r="O29"/>
    </row>
    <row r="30" spans="1:23" ht="14.4" x14ac:dyDescent="0.3">
      <c r="A30" s="160" t="str">
        <f>Current!V1</f>
        <v>Use Case</v>
      </c>
      <c r="B30" s="176" t="str">
        <f>Current!W1</f>
        <v>Count</v>
      </c>
      <c r="C30" s="176" t="str">
        <f>Current!X1</f>
        <v>Share</v>
      </c>
      <c r="D30" s="176" t="s">
        <v>7</v>
      </c>
      <c r="E30" s="176" t="s">
        <v>76</v>
      </c>
      <c r="F30" s="176" t="s">
        <v>6</v>
      </c>
      <c r="G30" s="176" t="s">
        <v>7</v>
      </c>
      <c r="H30" s="176" t="s">
        <v>76</v>
      </c>
      <c r="I30" s="176" t="s">
        <v>6</v>
      </c>
      <c r="J30" s="176" t="s">
        <v>7</v>
      </c>
      <c r="K30" s="176" t="s">
        <v>76</v>
      </c>
      <c r="L30" s="176" t="s">
        <v>6</v>
      </c>
      <c r="M30"/>
      <c r="N30"/>
      <c r="O30"/>
    </row>
    <row r="31" spans="1:23" ht="14.4" x14ac:dyDescent="0.3">
      <c r="A31" s="160" t="str">
        <f>Current!V2</f>
        <v>Human Space Flight</v>
      </c>
      <c r="B31" s="157">
        <f>Current!W2</f>
        <v>16</v>
      </c>
      <c r="C31" s="139">
        <f t="shared" ref="C31:C37" si="9">B31/$B$38</f>
        <v>0.25396825396825395</v>
      </c>
      <c r="D31" s="237">
        <f>ROUND($B31*(1+I$8),0)</f>
        <v>5</v>
      </c>
      <c r="E31" s="237">
        <f>ROUND($B31*(1+J$8),0)</f>
        <v>5</v>
      </c>
      <c r="F31" s="237">
        <f>ROUND($B31*(1+K$8),0)</f>
        <v>6</v>
      </c>
      <c r="G31" s="182">
        <f>D31*Current!$Y$13</f>
        <v>536708.4615384615</v>
      </c>
      <c r="H31" s="182">
        <f>E31*Current!$Y$13</f>
        <v>536708.4615384615</v>
      </c>
      <c r="I31" s="182">
        <f>F31*Current!$Y$13</f>
        <v>644050.15384615387</v>
      </c>
      <c r="J31" s="182">
        <f>G31*$O$7</f>
        <v>21468338.46153846</v>
      </c>
      <c r="K31" s="182">
        <f t="shared" ref="K31:L31" si="10">H31*$O$7</f>
        <v>21468338.46153846</v>
      </c>
      <c r="L31" s="182">
        <f t="shared" si="10"/>
        <v>25762006.153846156</v>
      </c>
      <c r="M31"/>
      <c r="N31"/>
      <c r="O31"/>
    </row>
    <row r="32" spans="1:23" ht="14.4" x14ac:dyDescent="0.3">
      <c r="A32" s="160" t="str">
        <f>Current!V3</f>
        <v>Near Earth Robotic - LEO Science</v>
      </c>
      <c r="B32" s="157">
        <f>Current!W3</f>
        <v>25</v>
      </c>
      <c r="C32" s="139">
        <f t="shared" si="9"/>
        <v>0.3968253968253968</v>
      </c>
      <c r="D32" s="237">
        <f t="shared" ref="D32:D37" si="11">ROUND($B32*(1+I$8),0)</f>
        <v>8</v>
      </c>
      <c r="E32" s="237">
        <f t="shared" ref="E32:E37" si="12">ROUND($B32*(1+J$8),0)</f>
        <v>8</v>
      </c>
      <c r="F32" s="237">
        <f t="shared" ref="F32:F37" si="13">ROUND($B32*(1+K$8),0)</f>
        <v>9</v>
      </c>
      <c r="G32" s="182">
        <f>D32*Current!$Y$13</f>
        <v>858733.5384615385</v>
      </c>
      <c r="H32" s="182">
        <f>E32*Current!$Y$13</f>
        <v>858733.5384615385</v>
      </c>
      <c r="I32" s="182">
        <f>F32*Current!$Y$13</f>
        <v>966075.23076923075</v>
      </c>
      <c r="J32" s="182">
        <f t="shared" ref="J32:J37" si="14">G32*$O$7</f>
        <v>34349341.538461536</v>
      </c>
      <c r="K32" s="182">
        <f t="shared" ref="K32:K37" si="15">H32*$O$7</f>
        <v>34349341.538461536</v>
      </c>
      <c r="L32" s="182">
        <f t="shared" ref="L32:L37" si="16">I32*$O$7</f>
        <v>38643009.230769232</v>
      </c>
      <c r="M32"/>
      <c r="N32"/>
      <c r="O32"/>
    </row>
    <row r="33" spans="1:19" ht="14.4" x14ac:dyDescent="0.3">
      <c r="A33" s="160" t="str">
        <f>Current!V4</f>
        <v>Near Earth Robotic - GEO and Near Earth</v>
      </c>
      <c r="B33" s="157">
        <f>Current!W4</f>
        <v>4</v>
      </c>
      <c r="C33" s="139">
        <f t="shared" si="9"/>
        <v>6.3492063492063489E-2</v>
      </c>
      <c r="D33" s="237">
        <f t="shared" si="11"/>
        <v>1</v>
      </c>
      <c r="E33" s="237">
        <f t="shared" si="12"/>
        <v>1</v>
      </c>
      <c r="F33" s="237">
        <f t="shared" si="13"/>
        <v>1</v>
      </c>
      <c r="G33" s="182">
        <f>D33*Current!$Y$13</f>
        <v>107341.69230769231</v>
      </c>
      <c r="H33" s="182">
        <f>E33*Current!$Y$13</f>
        <v>107341.69230769231</v>
      </c>
      <c r="I33" s="182">
        <f>F33*Current!$Y$13</f>
        <v>107341.69230769231</v>
      </c>
      <c r="J33" s="182">
        <f t="shared" si="14"/>
        <v>4293667.692307692</v>
      </c>
      <c r="K33" s="182">
        <f t="shared" si="15"/>
        <v>4293667.692307692</v>
      </c>
      <c r="L33" s="182">
        <f t="shared" si="16"/>
        <v>4293667.692307692</v>
      </c>
      <c r="M33"/>
      <c r="N33"/>
      <c r="O33"/>
    </row>
    <row r="34" spans="1:19" ht="14.4" x14ac:dyDescent="0.3">
      <c r="A34" s="160" t="str">
        <f>Current!V5</f>
        <v>Deep Space Robotic</v>
      </c>
      <c r="B34" s="273">
        <f>Current!W5</f>
        <v>1</v>
      </c>
      <c r="C34" s="255">
        <f t="shared" si="9"/>
        <v>1.5873015873015872E-2</v>
      </c>
      <c r="D34" s="269">
        <f t="shared" si="11"/>
        <v>0</v>
      </c>
      <c r="E34" s="237">
        <f t="shared" si="12"/>
        <v>0</v>
      </c>
      <c r="F34" s="237">
        <f t="shared" si="13"/>
        <v>0</v>
      </c>
      <c r="G34" s="182">
        <f>D34*Current!$Y$13</f>
        <v>0</v>
      </c>
      <c r="H34" s="182">
        <f>E34*Current!$Y$13</f>
        <v>0</v>
      </c>
      <c r="I34" s="182">
        <f>F34*Current!$Y$13</f>
        <v>0</v>
      </c>
      <c r="J34" s="182">
        <f t="shared" si="14"/>
        <v>0</v>
      </c>
      <c r="K34" s="182">
        <f t="shared" si="15"/>
        <v>0</v>
      </c>
      <c r="L34" s="182">
        <f t="shared" si="16"/>
        <v>0</v>
      </c>
      <c r="M34"/>
      <c r="N34"/>
      <c r="O34"/>
    </row>
    <row r="35" spans="1:19" ht="14.4" x14ac:dyDescent="0.3">
      <c r="A35" s="160" t="str">
        <f>Current!V6</f>
        <v>Near Earth Robotic - Low Latency &amp; Complex Needs</v>
      </c>
      <c r="B35" s="273">
        <f>Current!W6</f>
        <v>2</v>
      </c>
      <c r="C35" s="255">
        <f t="shared" si="9"/>
        <v>3.1746031746031744E-2</v>
      </c>
      <c r="D35" s="269">
        <f t="shared" si="11"/>
        <v>1</v>
      </c>
      <c r="E35" s="237">
        <f t="shared" si="12"/>
        <v>1</v>
      </c>
      <c r="F35" s="237">
        <f t="shared" si="13"/>
        <v>1</v>
      </c>
      <c r="G35" s="182">
        <f>D35*Current!$Y$13</f>
        <v>107341.69230769231</v>
      </c>
      <c r="H35" s="182">
        <f>E35*Current!$Y$13</f>
        <v>107341.69230769231</v>
      </c>
      <c r="I35" s="182">
        <f>F35*Current!$Y$13</f>
        <v>107341.69230769231</v>
      </c>
      <c r="J35" s="182">
        <f t="shared" si="14"/>
        <v>4293667.692307692</v>
      </c>
      <c r="K35" s="182">
        <f t="shared" si="15"/>
        <v>4293667.692307692</v>
      </c>
      <c r="L35" s="182">
        <f t="shared" si="16"/>
        <v>4293667.692307692</v>
      </c>
      <c r="M35"/>
      <c r="N35"/>
      <c r="O35"/>
    </row>
    <row r="36" spans="1:19" ht="14.4" x14ac:dyDescent="0.3">
      <c r="A36" s="160" t="str">
        <f>Current!V7</f>
        <v>Mission Operations</v>
      </c>
      <c r="B36" s="273">
        <f>Current!W7</f>
        <v>0</v>
      </c>
      <c r="C36" s="255">
        <f t="shared" si="9"/>
        <v>0</v>
      </c>
      <c r="D36" s="269">
        <f t="shared" si="11"/>
        <v>0</v>
      </c>
      <c r="E36" s="237">
        <f t="shared" si="12"/>
        <v>0</v>
      </c>
      <c r="F36" s="237">
        <f t="shared" si="13"/>
        <v>0</v>
      </c>
      <c r="G36" s="182">
        <f>D36*Current!$Y$13</f>
        <v>0</v>
      </c>
      <c r="H36" s="182">
        <f>E36*Current!$Y$13</f>
        <v>0</v>
      </c>
      <c r="I36" s="182">
        <f>F36*Current!$Y$13</f>
        <v>0</v>
      </c>
      <c r="J36" s="182">
        <f t="shared" si="14"/>
        <v>0</v>
      </c>
      <c r="K36" s="182">
        <f t="shared" si="15"/>
        <v>0</v>
      </c>
      <c r="L36" s="182">
        <f t="shared" si="16"/>
        <v>0</v>
      </c>
      <c r="M36"/>
      <c r="N36"/>
      <c r="O36"/>
    </row>
    <row r="37" spans="1:19" ht="14.4" x14ac:dyDescent="0.3">
      <c r="A37" s="160" t="str">
        <f>Current!V9</f>
        <v>Terrestrial &amp; Aerial</v>
      </c>
      <c r="B37" s="273">
        <f>Current!W9</f>
        <v>15</v>
      </c>
      <c r="C37" s="255">
        <f t="shared" si="9"/>
        <v>0.23809523809523808</v>
      </c>
      <c r="D37" s="269">
        <f t="shared" si="11"/>
        <v>5</v>
      </c>
      <c r="E37" s="237">
        <f t="shared" si="12"/>
        <v>5</v>
      </c>
      <c r="F37" s="237">
        <f t="shared" si="13"/>
        <v>5</v>
      </c>
      <c r="G37" s="182">
        <f>D37*Current!$Y$13</f>
        <v>536708.4615384615</v>
      </c>
      <c r="H37" s="182">
        <f>E37*Current!$Y$13</f>
        <v>536708.4615384615</v>
      </c>
      <c r="I37" s="182">
        <f>F37*Current!$Y$13</f>
        <v>536708.4615384615</v>
      </c>
      <c r="J37" s="182">
        <f t="shared" si="14"/>
        <v>21468338.46153846</v>
      </c>
      <c r="K37" s="182">
        <f t="shared" si="15"/>
        <v>21468338.46153846</v>
      </c>
      <c r="L37" s="182">
        <f t="shared" si="16"/>
        <v>21468338.46153846</v>
      </c>
      <c r="M37"/>
      <c r="N37"/>
      <c r="O37"/>
    </row>
    <row r="38" spans="1:19" ht="16.2" thickBot="1" x14ac:dyDescent="0.35">
      <c r="A38" s="159" t="s">
        <v>319</v>
      </c>
      <c r="B38" s="155">
        <f>SUM(B31:B36,B37)</f>
        <v>63</v>
      </c>
      <c r="C38" s="142">
        <f t="shared" ref="C38:I38" si="17">SUM(C31:C37)</f>
        <v>0.99999999999999978</v>
      </c>
      <c r="D38" s="167">
        <f t="shared" si="17"/>
        <v>20</v>
      </c>
      <c r="E38" s="167">
        <f t="shared" si="17"/>
        <v>20</v>
      </c>
      <c r="F38" s="167">
        <f t="shared" si="17"/>
        <v>22</v>
      </c>
      <c r="G38" s="167">
        <f t="shared" si="17"/>
        <v>2146833.846153846</v>
      </c>
      <c r="H38" s="167">
        <f t="shared" si="17"/>
        <v>2146833.846153846</v>
      </c>
      <c r="I38" s="167">
        <f t="shared" si="17"/>
        <v>2361517.2307692305</v>
      </c>
      <c r="J38" s="167">
        <f>SUM(J31:J37)</f>
        <v>85873353.846153855</v>
      </c>
      <c r="K38" s="167">
        <f>SUM(K31:K37)</f>
        <v>85873353.846153855</v>
      </c>
      <c r="L38" s="167">
        <f>SUM(L31:L37)</f>
        <v>94460689.230769247</v>
      </c>
      <c r="M38"/>
      <c r="N38"/>
      <c r="O38"/>
    </row>
    <row r="39" spans="1:19" x14ac:dyDescent="0.25">
      <c r="J39" s="174"/>
    </row>
    <row r="40" spans="1:19" ht="16.2" thickBot="1" x14ac:dyDescent="0.35">
      <c r="A40" s="195" t="s">
        <v>330</v>
      </c>
    </row>
    <row r="41" spans="1:19" ht="14.4" x14ac:dyDescent="0.3">
      <c r="A41" s="345" t="s">
        <v>91</v>
      </c>
      <c r="B41" s="473" t="s">
        <v>320</v>
      </c>
      <c r="C41" s="473"/>
      <c r="D41" s="473"/>
      <c r="E41" s="473"/>
      <c r="F41" s="473"/>
      <c r="G41" s="470" t="s">
        <v>323</v>
      </c>
      <c r="H41" s="470"/>
      <c r="I41" s="470"/>
      <c r="J41" s="470" t="s">
        <v>325</v>
      </c>
      <c r="K41" s="470"/>
      <c r="L41" s="475"/>
      <c r="M41"/>
      <c r="N41"/>
      <c r="O41"/>
    </row>
    <row r="42" spans="1:19" ht="15" customHeight="1" x14ac:dyDescent="0.3">
      <c r="A42" s="346" t="s">
        <v>82</v>
      </c>
      <c r="B42" s="347" t="s">
        <v>83</v>
      </c>
      <c r="C42" s="347" t="s">
        <v>92</v>
      </c>
      <c r="D42" s="347" t="s">
        <v>7</v>
      </c>
      <c r="E42" s="347" t="s">
        <v>76</v>
      </c>
      <c r="F42" s="347" t="s">
        <v>6</v>
      </c>
      <c r="G42" s="347" t="s">
        <v>7</v>
      </c>
      <c r="H42" s="347" t="s">
        <v>76</v>
      </c>
      <c r="I42" s="347" t="s">
        <v>6</v>
      </c>
      <c r="J42" s="347" t="s">
        <v>7</v>
      </c>
      <c r="K42" s="347" t="s">
        <v>76</v>
      </c>
      <c r="L42" s="186" t="s">
        <v>6</v>
      </c>
      <c r="M42"/>
      <c r="N42"/>
      <c r="O42"/>
    </row>
    <row r="43" spans="1:19" ht="14.4" x14ac:dyDescent="0.3">
      <c r="A43" s="160" t="s">
        <v>314</v>
      </c>
      <c r="B43" s="157">
        <f>Current!J8</f>
        <v>0</v>
      </c>
      <c r="C43" s="139">
        <f>B43/$B$45</f>
        <v>0</v>
      </c>
      <c r="D43" s="162">
        <f t="shared" ref="D43:F44" si="18">ROUND($B43*(1+I$9),0)</f>
        <v>0</v>
      </c>
      <c r="E43" s="162">
        <f t="shared" si="18"/>
        <v>0</v>
      </c>
      <c r="F43" s="162">
        <f t="shared" si="18"/>
        <v>0</v>
      </c>
      <c r="G43" s="182">
        <f>D43*Current!$L$13</f>
        <v>0</v>
      </c>
      <c r="H43" s="182">
        <f>E43*Current!$L$13</f>
        <v>0</v>
      </c>
      <c r="I43" s="182">
        <f>F43*Current!$L$13</f>
        <v>0</v>
      </c>
      <c r="J43" s="182">
        <f>G43*$O$6</f>
        <v>0</v>
      </c>
      <c r="K43" s="182">
        <f t="shared" ref="K43:L43" si="19">H43*$O$6</f>
        <v>0</v>
      </c>
      <c r="L43" s="182">
        <f t="shared" si="19"/>
        <v>0</v>
      </c>
      <c r="M43"/>
      <c r="N43"/>
      <c r="O43"/>
    </row>
    <row r="44" spans="1:19" ht="14.4" x14ac:dyDescent="0.3">
      <c r="A44" s="160" t="s">
        <v>315</v>
      </c>
      <c r="B44" s="163">
        <f>Current!W8</f>
        <v>2</v>
      </c>
      <c r="C44" s="139">
        <f>B44/$B$45</f>
        <v>1</v>
      </c>
      <c r="D44" s="162">
        <f t="shared" si="18"/>
        <v>33</v>
      </c>
      <c r="E44" s="162">
        <f t="shared" si="18"/>
        <v>39</v>
      </c>
      <c r="F44" s="162">
        <f t="shared" si="18"/>
        <v>45</v>
      </c>
      <c r="G44" s="182">
        <f>D44*Current!$Y$13</f>
        <v>3542275.8461538465</v>
      </c>
      <c r="H44" s="182">
        <f>E44*Current!$Y$13</f>
        <v>4186326</v>
      </c>
      <c r="I44" s="182">
        <f>F44*Current!$Y$13</f>
        <v>4830376.153846154</v>
      </c>
      <c r="J44" s="182">
        <f>G44*$O$7</f>
        <v>141691033.84615386</v>
      </c>
      <c r="K44" s="182">
        <f t="shared" ref="K44:L44" si="20">H44*$O$7</f>
        <v>167453040</v>
      </c>
      <c r="L44" s="182">
        <f t="shared" si="20"/>
        <v>193215046.15384614</v>
      </c>
      <c r="M44"/>
      <c r="N44"/>
      <c r="O44"/>
    </row>
    <row r="45" spans="1:19" ht="14.4" customHeight="1" thickBot="1" x14ac:dyDescent="0.35">
      <c r="A45" s="159" t="s">
        <v>84</v>
      </c>
      <c r="B45" s="155">
        <f>SUM(B43:B44)</f>
        <v>2</v>
      </c>
      <c r="C45" s="164">
        <f>SUM(C43:C44)</f>
        <v>1</v>
      </c>
      <c r="D45" s="165">
        <f>SUM(D43:D44)</f>
        <v>33</v>
      </c>
      <c r="E45" s="165">
        <f t="shared" ref="E45:K45" si="21">SUM(E43:E44)</f>
        <v>39</v>
      </c>
      <c r="F45" s="165">
        <f t="shared" si="21"/>
        <v>45</v>
      </c>
      <c r="G45" s="165">
        <f>SUM(G43:G44)</f>
        <v>3542275.8461538465</v>
      </c>
      <c r="H45" s="165">
        <f t="shared" si="21"/>
        <v>4186326</v>
      </c>
      <c r="I45" s="165">
        <f t="shared" si="21"/>
        <v>4830376.153846154</v>
      </c>
      <c r="J45" s="165">
        <f t="shared" si="21"/>
        <v>141691033.84615386</v>
      </c>
      <c r="K45" s="165">
        <f t="shared" si="21"/>
        <v>167453040</v>
      </c>
      <c r="L45" s="187">
        <f>SUM(L43:L44)</f>
        <v>193215046.15384614</v>
      </c>
      <c r="M45"/>
      <c r="N45"/>
      <c r="O45"/>
    </row>
    <row r="46" spans="1:19" x14ac:dyDescent="0.25">
      <c r="A46" s="173"/>
      <c r="B46" s="170"/>
      <c r="C46" s="171"/>
      <c r="D46" s="172"/>
      <c r="E46" s="172"/>
      <c r="F46" s="172"/>
      <c r="H46" s="244"/>
      <c r="K46" s="244"/>
      <c r="L46" s="221"/>
    </row>
    <row r="47" spans="1:19" x14ac:dyDescent="0.25">
      <c r="A47" s="173"/>
      <c r="B47" s="170"/>
      <c r="C47" s="171"/>
      <c r="D47" s="172"/>
      <c r="E47" s="172"/>
      <c r="F47" s="172"/>
    </row>
    <row r="48" spans="1:19" s="194" customFormat="1" x14ac:dyDescent="0.25">
      <c r="A48" s="238"/>
      <c r="B48" s="238"/>
      <c r="C48" s="238"/>
      <c r="D48" s="238"/>
      <c r="E48" s="238"/>
      <c r="F48" s="238"/>
      <c r="G48" s="238"/>
      <c r="H48" s="238"/>
      <c r="I48" s="238"/>
      <c r="J48" s="238"/>
      <c r="K48" s="238"/>
      <c r="L48" s="238"/>
      <c r="M48" s="238"/>
      <c r="N48" s="238"/>
      <c r="S48" s="220"/>
    </row>
    <row r="49" spans="1:15" ht="16.2" thickBot="1" x14ac:dyDescent="0.35">
      <c r="A49" s="195" t="s">
        <v>331</v>
      </c>
      <c r="B49" s="252"/>
      <c r="C49" s="252"/>
      <c r="D49" s="252"/>
      <c r="E49" s="252"/>
      <c r="F49" s="252"/>
      <c r="G49" s="252"/>
      <c r="H49" s="252"/>
      <c r="I49" s="252"/>
      <c r="J49" s="252"/>
      <c r="K49" s="252"/>
      <c r="L49" s="252"/>
      <c r="M49" s="252"/>
      <c r="N49" s="252"/>
    </row>
    <row r="50" spans="1:15" ht="14.4" customHeight="1" x14ac:dyDescent="0.25">
      <c r="A50" s="487" t="s">
        <v>317</v>
      </c>
      <c r="B50" s="488"/>
      <c r="C50" s="473" t="s">
        <v>72</v>
      </c>
      <c r="D50" s="473"/>
      <c r="E50" s="473"/>
      <c r="F50" s="473" t="s">
        <v>73</v>
      </c>
      <c r="G50" s="473"/>
      <c r="H50" s="473"/>
      <c r="I50" s="473" t="s">
        <v>73</v>
      </c>
      <c r="J50" s="473"/>
      <c r="K50" s="473"/>
      <c r="L50" s="467" t="s">
        <v>73</v>
      </c>
      <c r="M50" s="468"/>
      <c r="N50" s="469"/>
    </row>
    <row r="51" spans="1:15" x14ac:dyDescent="0.25">
      <c r="A51" s="489"/>
      <c r="B51" s="490"/>
      <c r="C51" s="230" t="s">
        <v>7</v>
      </c>
      <c r="D51" s="230" t="s">
        <v>76</v>
      </c>
      <c r="E51" s="230" t="s">
        <v>6</v>
      </c>
      <c r="F51" s="230" t="s">
        <v>7</v>
      </c>
      <c r="G51" s="230" t="s">
        <v>76</v>
      </c>
      <c r="H51" s="230" t="s">
        <v>6</v>
      </c>
      <c r="I51" s="230" t="s">
        <v>7</v>
      </c>
      <c r="J51" s="230" t="s">
        <v>76</v>
      </c>
      <c r="K51" s="230" t="s">
        <v>6</v>
      </c>
      <c r="L51" s="230" t="s">
        <v>7</v>
      </c>
      <c r="M51" s="230" t="s">
        <v>76</v>
      </c>
      <c r="N51" s="186" t="s">
        <v>6</v>
      </c>
    </row>
    <row r="52" spans="1:15" x14ac:dyDescent="0.25">
      <c r="A52" s="253" t="s">
        <v>74</v>
      </c>
      <c r="B52" s="230" t="s">
        <v>75</v>
      </c>
      <c r="C52" s="254">
        <v>20</v>
      </c>
      <c r="D52" s="254">
        <v>22</v>
      </c>
      <c r="E52" s="254">
        <v>24</v>
      </c>
      <c r="F52" s="254">
        <v>40</v>
      </c>
      <c r="G52" s="254">
        <v>58</v>
      </c>
      <c r="H52" s="254">
        <v>76</v>
      </c>
      <c r="I52" s="255">
        <f>(C52-$B$69)/$B$69</f>
        <v>-0.59183673469387754</v>
      </c>
      <c r="J52" s="255">
        <f>(D52-$B$69)/$B$69</f>
        <v>-0.55102040816326525</v>
      </c>
      <c r="K52" s="255">
        <f>(E52-$B$69)/$B$69</f>
        <v>-0.51020408163265307</v>
      </c>
      <c r="L52" s="255">
        <f t="shared" ref="L52:N53" si="22">(F52-$B$69)/$B$26</f>
        <v>-0.18367346938775511</v>
      </c>
      <c r="M52" s="255">
        <f t="shared" si="22"/>
        <v>0.18367346938775511</v>
      </c>
      <c r="N52" s="256">
        <f t="shared" si="22"/>
        <v>0.55102040816326525</v>
      </c>
    </row>
    <row r="53" spans="1:15" x14ac:dyDescent="0.25">
      <c r="A53" s="253"/>
      <c r="B53" s="257" t="s">
        <v>77</v>
      </c>
      <c r="C53" s="258">
        <v>12</v>
      </c>
      <c r="D53" s="258">
        <v>14</v>
      </c>
      <c r="E53" s="258">
        <v>16</v>
      </c>
      <c r="F53" s="254">
        <v>40</v>
      </c>
      <c r="G53" s="254">
        <v>58</v>
      </c>
      <c r="H53" s="254">
        <v>76</v>
      </c>
      <c r="I53" s="255">
        <f>(C53-$B$81)/$B$81</f>
        <v>-0.80952380952380953</v>
      </c>
      <c r="J53" s="255">
        <f>(D53-$B$81)/$B$81</f>
        <v>-0.77777777777777779</v>
      </c>
      <c r="K53" s="255">
        <f>(E53-$B$81)/$B$81</f>
        <v>-0.74603174603174605</v>
      </c>
      <c r="L53" s="255">
        <f t="shared" si="22"/>
        <v>-0.18367346938775511</v>
      </c>
      <c r="M53" s="255">
        <f t="shared" si="22"/>
        <v>0.18367346938775511</v>
      </c>
      <c r="N53" s="256">
        <f t="shared" si="22"/>
        <v>0.55102040816326525</v>
      </c>
    </row>
    <row r="54" spans="1:15" ht="14.4" customHeight="1" x14ac:dyDescent="0.25">
      <c r="A54" s="259" t="s">
        <v>78</v>
      </c>
      <c r="B54" s="257"/>
      <c r="C54" s="258">
        <v>1</v>
      </c>
      <c r="D54" s="258">
        <v>12</v>
      </c>
      <c r="E54" s="258">
        <v>25</v>
      </c>
      <c r="F54" s="258">
        <v>1</v>
      </c>
      <c r="G54" s="258">
        <v>12</v>
      </c>
      <c r="H54" s="258">
        <v>25</v>
      </c>
      <c r="I54" s="260" t="s">
        <v>10</v>
      </c>
      <c r="J54" s="260" t="s">
        <v>10</v>
      </c>
      <c r="K54" s="260" t="s">
        <v>10</v>
      </c>
      <c r="L54" s="260" t="s">
        <v>10</v>
      </c>
      <c r="M54" s="260" t="s">
        <v>10</v>
      </c>
      <c r="N54" s="261" t="s">
        <v>10</v>
      </c>
    </row>
    <row r="55" spans="1:15" x14ac:dyDescent="0.25">
      <c r="A55" s="491" t="s">
        <v>79</v>
      </c>
      <c r="B55" s="492"/>
      <c r="C55" s="262">
        <v>89840</v>
      </c>
      <c r="D55" s="262">
        <v>250000</v>
      </c>
      <c r="E55" s="262">
        <v>525600</v>
      </c>
      <c r="F55" s="262">
        <v>525600</v>
      </c>
      <c r="G55" s="262">
        <v>750000</v>
      </c>
      <c r="H55" s="262">
        <v>1000000</v>
      </c>
      <c r="I55" s="260" t="s">
        <v>10</v>
      </c>
      <c r="J55" s="260" t="s">
        <v>10</v>
      </c>
      <c r="K55" s="260" t="s">
        <v>10</v>
      </c>
      <c r="L55" s="260" t="s">
        <v>10</v>
      </c>
      <c r="M55" s="260" t="s">
        <v>10</v>
      </c>
      <c r="N55" s="261" t="s">
        <v>10</v>
      </c>
    </row>
    <row r="56" spans="1:15" x14ac:dyDescent="0.25">
      <c r="A56" s="481" t="s">
        <v>321</v>
      </c>
      <c r="B56" s="482"/>
      <c r="C56" s="263">
        <f t="shared" ref="C56:H56" si="23">C55/SUM(C52:C53)</f>
        <v>2807.5</v>
      </c>
      <c r="D56" s="263">
        <f t="shared" si="23"/>
        <v>6944.4444444444443</v>
      </c>
      <c r="E56" s="263">
        <f t="shared" si="23"/>
        <v>13140</v>
      </c>
      <c r="F56" s="263">
        <f t="shared" si="23"/>
        <v>6570</v>
      </c>
      <c r="G56" s="263">
        <f t="shared" si="23"/>
        <v>6465.5172413793107</v>
      </c>
      <c r="H56" s="263">
        <f t="shared" si="23"/>
        <v>6578.9473684210525</v>
      </c>
      <c r="I56" s="260" t="s">
        <v>10</v>
      </c>
      <c r="J56" s="260" t="s">
        <v>10</v>
      </c>
      <c r="K56" s="260" t="s">
        <v>10</v>
      </c>
      <c r="L56" s="260" t="s">
        <v>10</v>
      </c>
      <c r="M56" s="260" t="s">
        <v>10</v>
      </c>
      <c r="N56" s="261" t="s">
        <v>10</v>
      </c>
    </row>
    <row r="57" spans="1:15" ht="14.4" thickBot="1" x14ac:dyDescent="0.3">
      <c r="A57" s="493" t="s">
        <v>322</v>
      </c>
      <c r="B57" s="494"/>
      <c r="C57" s="264">
        <f>C55/(SUM(C51:C53)*C54)</f>
        <v>2807.5</v>
      </c>
      <c r="D57" s="264">
        <f>D55/(SUM(D51:D53)*D54)</f>
        <v>578.7037037037037</v>
      </c>
      <c r="E57" s="264">
        <f>E55/(SUM(E51:E53)*E54)</f>
        <v>525.6</v>
      </c>
      <c r="F57" s="264">
        <f>F55/(SUM(F52:F53)*F54)</f>
        <v>6570</v>
      </c>
      <c r="G57" s="264">
        <f>G55/(SUM(G52:G53)*G54)</f>
        <v>538.79310344827582</v>
      </c>
      <c r="H57" s="264">
        <f>H55/(SUM(H52:H53)*H54)</f>
        <v>263.15789473684208</v>
      </c>
      <c r="I57" s="265" t="s">
        <v>10</v>
      </c>
      <c r="J57" s="265" t="s">
        <v>10</v>
      </c>
      <c r="K57" s="265" t="s">
        <v>10</v>
      </c>
      <c r="L57" s="265" t="s">
        <v>10</v>
      </c>
      <c r="M57" s="265" t="s">
        <v>10</v>
      </c>
      <c r="N57" s="266" t="s">
        <v>10</v>
      </c>
    </row>
    <row r="58" spans="1:15" x14ac:dyDescent="0.25">
      <c r="A58" s="252"/>
      <c r="B58" s="252"/>
      <c r="C58" s="252"/>
      <c r="D58" s="252"/>
      <c r="E58" s="252"/>
      <c r="F58" s="252"/>
      <c r="G58" s="252"/>
      <c r="H58" s="252"/>
      <c r="I58" s="252"/>
      <c r="J58" s="252"/>
      <c r="K58" s="252"/>
      <c r="L58" s="252"/>
      <c r="M58" s="252"/>
      <c r="N58" s="252"/>
    </row>
    <row r="59" spans="1:15" ht="14.4" thickBot="1" x14ac:dyDescent="0.3">
      <c r="A59" s="267" t="s">
        <v>332</v>
      </c>
      <c r="B59" s="252"/>
      <c r="C59" s="252"/>
      <c r="D59" s="252"/>
      <c r="E59" s="252"/>
      <c r="F59" s="252"/>
      <c r="G59" s="252"/>
      <c r="H59" s="252"/>
      <c r="I59" s="252"/>
      <c r="J59" s="252"/>
      <c r="K59" s="252"/>
      <c r="L59" s="252"/>
      <c r="M59" s="252"/>
      <c r="N59" s="252"/>
    </row>
    <row r="60" spans="1:15" ht="14.4" x14ac:dyDescent="0.3">
      <c r="A60" s="345" t="s">
        <v>91</v>
      </c>
      <c r="B60" s="473" t="s">
        <v>93</v>
      </c>
      <c r="C60" s="473"/>
      <c r="D60" s="473"/>
      <c r="E60" s="473"/>
      <c r="F60" s="473"/>
      <c r="G60" s="476" t="s">
        <v>323</v>
      </c>
      <c r="H60" s="476"/>
      <c r="I60" s="476"/>
      <c r="J60" s="476" t="s">
        <v>325</v>
      </c>
      <c r="K60" s="476"/>
      <c r="L60" s="477"/>
      <c r="M60" s="268"/>
      <c r="N60" s="268"/>
      <c r="O60"/>
    </row>
    <row r="61" spans="1:15" ht="14.4" x14ac:dyDescent="0.3">
      <c r="A61" s="160" t="str">
        <f>Current!I1</f>
        <v>Use Case</v>
      </c>
      <c r="B61" s="161" t="str">
        <f>Current!J1</f>
        <v>Count</v>
      </c>
      <c r="C61" s="161" t="str">
        <f>Current!K1</f>
        <v>Share</v>
      </c>
      <c r="D61" s="347" t="s">
        <v>7</v>
      </c>
      <c r="E61" s="347" t="s">
        <v>76</v>
      </c>
      <c r="F61" s="347" t="s">
        <v>6</v>
      </c>
      <c r="G61" s="347" t="s">
        <v>7</v>
      </c>
      <c r="H61" s="347" t="s">
        <v>76</v>
      </c>
      <c r="I61" s="347" t="s">
        <v>6</v>
      </c>
      <c r="J61" s="347" t="s">
        <v>7</v>
      </c>
      <c r="K61" s="347" t="s">
        <v>76</v>
      </c>
      <c r="L61" s="186" t="s">
        <v>6</v>
      </c>
      <c r="M61" s="268"/>
      <c r="N61" s="268"/>
      <c r="O61"/>
    </row>
    <row r="62" spans="1:15" ht="14.4" x14ac:dyDescent="0.3">
      <c r="A62" s="160" t="str">
        <f>Current!I2</f>
        <v>Human Space Flight</v>
      </c>
      <c r="B62" s="163">
        <f>Current!J2</f>
        <v>2</v>
      </c>
      <c r="C62" s="255">
        <f t="shared" ref="C62:C68" si="24">B62/$B$69</f>
        <v>4.0816326530612242E-2</v>
      </c>
      <c r="D62" s="269">
        <f>IFERROR(ROUND($B62*(1+I$52),0),"-")</f>
        <v>1</v>
      </c>
      <c r="E62" s="269">
        <f>IFERROR(ROUND($B62*(1+J$52),0),"-")</f>
        <v>1</v>
      </c>
      <c r="F62" s="269">
        <f>IFERROR(ROUND($B62*(1+K$52),0),"-")</f>
        <v>1</v>
      </c>
      <c r="G62" s="182">
        <f>IFERROR(D62*Current!$L$13,"-")</f>
        <v>16336.733333333334</v>
      </c>
      <c r="H62" s="182">
        <f>IFERROR(E62*Current!$L$13,"-")</f>
        <v>16336.733333333334</v>
      </c>
      <c r="I62" s="182">
        <f>IFERROR(F62*Current!$L$13,"-")</f>
        <v>16336.733333333334</v>
      </c>
      <c r="J62" s="182">
        <f>IFERROR(G62*$O$6,"-")</f>
        <v>245051</v>
      </c>
      <c r="K62" s="182">
        <f t="shared" ref="K62:L62" si="25">IFERROR(H62*$O$6,"-")</f>
        <v>245051</v>
      </c>
      <c r="L62" s="182">
        <f t="shared" si="25"/>
        <v>245051</v>
      </c>
      <c r="M62" s="268"/>
      <c r="N62" s="268"/>
      <c r="O62"/>
    </row>
    <row r="63" spans="1:15" ht="14.4" x14ac:dyDescent="0.3">
      <c r="A63" s="160" t="str">
        <f>Current!I3</f>
        <v>Near Earth Robotic - LEO Science</v>
      </c>
      <c r="B63" s="163">
        <f>Current!J3</f>
        <v>32</v>
      </c>
      <c r="C63" s="255">
        <f t="shared" si="24"/>
        <v>0.65306122448979587</v>
      </c>
      <c r="D63" s="269">
        <f t="shared" ref="D63:D68" si="26">IFERROR(ROUND($B63*(1+I$52),0),"-")</f>
        <v>13</v>
      </c>
      <c r="E63" s="269">
        <f t="shared" ref="E63:F68" si="27">IFERROR(ROUND($B63*(1+J$52),0),"-")</f>
        <v>14</v>
      </c>
      <c r="F63" s="269">
        <f t="shared" si="27"/>
        <v>16</v>
      </c>
      <c r="G63" s="182">
        <f>IFERROR(D63*Current!$L$13,"-")</f>
        <v>212377.53333333333</v>
      </c>
      <c r="H63" s="182">
        <f>IFERROR(E63*Current!$L$13,"-")</f>
        <v>228714.26666666666</v>
      </c>
      <c r="I63" s="182">
        <f>IFERROR(F63*Current!$L$13,"-")</f>
        <v>261387.73333333334</v>
      </c>
      <c r="J63" s="182">
        <f t="shared" ref="J63:J68" si="28">IFERROR(G63*$O$6,"-")</f>
        <v>3185663</v>
      </c>
      <c r="K63" s="182">
        <f t="shared" ref="K63:K68" si="29">IFERROR(H63*$O$6,"-")</f>
        <v>3430714</v>
      </c>
      <c r="L63" s="182">
        <f t="shared" ref="L63:L68" si="30">IFERROR(I63*$O$6,"-")</f>
        <v>3920816</v>
      </c>
      <c r="M63" s="268"/>
      <c r="N63" s="268"/>
      <c r="O63"/>
    </row>
    <row r="64" spans="1:15" ht="14.4" x14ac:dyDescent="0.3">
      <c r="A64" s="160" t="str">
        <f>Current!I4</f>
        <v>Near Earth Robotic - GEO and Near Earth</v>
      </c>
      <c r="B64" s="163">
        <f>Current!J4</f>
        <v>15</v>
      </c>
      <c r="C64" s="255">
        <f t="shared" si="24"/>
        <v>0.30612244897959184</v>
      </c>
      <c r="D64" s="269">
        <f t="shared" si="26"/>
        <v>6</v>
      </c>
      <c r="E64" s="269">
        <f t="shared" si="27"/>
        <v>7</v>
      </c>
      <c r="F64" s="269">
        <f t="shared" si="27"/>
        <v>7</v>
      </c>
      <c r="G64" s="182">
        <f>IFERROR(D64*Current!$L$13,"-")</f>
        <v>98020.4</v>
      </c>
      <c r="H64" s="182">
        <f>IFERROR(E64*Current!$L$13,"-")</f>
        <v>114357.13333333333</v>
      </c>
      <c r="I64" s="182">
        <f>IFERROR(F64*Current!$L$13,"-")</f>
        <v>114357.13333333333</v>
      </c>
      <c r="J64" s="182">
        <f t="shared" si="28"/>
        <v>1470306</v>
      </c>
      <c r="K64" s="182">
        <f t="shared" si="29"/>
        <v>1715357</v>
      </c>
      <c r="L64" s="182">
        <f t="shared" si="30"/>
        <v>1715357</v>
      </c>
      <c r="M64" s="268"/>
      <c r="N64" s="268"/>
      <c r="O64"/>
    </row>
    <row r="65" spans="1:15" ht="14.4" customHeight="1" x14ac:dyDescent="0.3">
      <c r="A65" s="160" t="str">
        <f>Current!I5</f>
        <v>Deep Space Robotic</v>
      </c>
      <c r="B65" s="163">
        <f>Current!J5</f>
        <v>0</v>
      </c>
      <c r="C65" s="255">
        <f t="shared" si="24"/>
        <v>0</v>
      </c>
      <c r="D65" s="269">
        <f t="shared" si="26"/>
        <v>0</v>
      </c>
      <c r="E65" s="269">
        <f t="shared" si="27"/>
        <v>0</v>
      </c>
      <c r="F65" s="269">
        <f t="shared" si="27"/>
        <v>0</v>
      </c>
      <c r="G65" s="182">
        <f>IFERROR(D65*Current!$L$13,"-")</f>
        <v>0</v>
      </c>
      <c r="H65" s="182">
        <f>IFERROR(E65*Current!$L$13,"-")</f>
        <v>0</v>
      </c>
      <c r="I65" s="182">
        <f>IFERROR(F65*Current!$L$13,"-")</f>
        <v>0</v>
      </c>
      <c r="J65" s="182">
        <f t="shared" si="28"/>
        <v>0</v>
      </c>
      <c r="K65" s="182">
        <f t="shared" si="29"/>
        <v>0</v>
      </c>
      <c r="L65" s="182">
        <f t="shared" si="30"/>
        <v>0</v>
      </c>
      <c r="M65" s="268"/>
      <c r="N65" s="268"/>
      <c r="O65"/>
    </row>
    <row r="66" spans="1:15" ht="14.4" x14ac:dyDescent="0.3">
      <c r="A66" s="160" t="str">
        <f>Current!I6</f>
        <v>Near Earth Robotic - Low Latency &amp; Complex Needs</v>
      </c>
      <c r="B66" s="163">
        <f>Current!J6</f>
        <v>0</v>
      </c>
      <c r="C66" s="255">
        <f t="shared" si="24"/>
        <v>0</v>
      </c>
      <c r="D66" s="269">
        <f t="shared" si="26"/>
        <v>0</v>
      </c>
      <c r="E66" s="269">
        <f t="shared" si="27"/>
        <v>0</v>
      </c>
      <c r="F66" s="269">
        <f t="shared" si="27"/>
        <v>0</v>
      </c>
      <c r="G66" s="182">
        <f>IFERROR(D66*Current!$L$13,"-")</f>
        <v>0</v>
      </c>
      <c r="H66" s="182">
        <f>IFERROR(E66*Current!$L$13,"-")</f>
        <v>0</v>
      </c>
      <c r="I66" s="182">
        <f>IFERROR(F66*Current!$L$13,"-")</f>
        <v>0</v>
      </c>
      <c r="J66" s="182">
        <f t="shared" si="28"/>
        <v>0</v>
      </c>
      <c r="K66" s="182">
        <f t="shared" si="29"/>
        <v>0</v>
      </c>
      <c r="L66" s="182">
        <f t="shared" si="30"/>
        <v>0</v>
      </c>
      <c r="M66" s="268"/>
      <c r="N66" s="268"/>
      <c r="O66"/>
    </row>
    <row r="67" spans="1:15" ht="14.4" x14ac:dyDescent="0.3">
      <c r="A67" s="160" t="str">
        <f>Current!I7</f>
        <v>Mission Operations</v>
      </c>
      <c r="B67" s="163">
        <f>Current!J7</f>
        <v>0</v>
      </c>
      <c r="C67" s="255">
        <f t="shared" si="24"/>
        <v>0</v>
      </c>
      <c r="D67" s="269">
        <f t="shared" si="26"/>
        <v>0</v>
      </c>
      <c r="E67" s="269">
        <f t="shared" si="27"/>
        <v>0</v>
      </c>
      <c r="F67" s="269">
        <f t="shared" si="27"/>
        <v>0</v>
      </c>
      <c r="G67" s="182">
        <f>IFERROR(D67*Current!$L$13,"-")</f>
        <v>0</v>
      </c>
      <c r="H67" s="182">
        <f>IFERROR(E67*Current!$L$13,"-")</f>
        <v>0</v>
      </c>
      <c r="I67" s="182">
        <f>IFERROR(F67*Current!$L$13,"-")</f>
        <v>0</v>
      </c>
      <c r="J67" s="182">
        <f t="shared" si="28"/>
        <v>0</v>
      </c>
      <c r="K67" s="182">
        <f t="shared" si="29"/>
        <v>0</v>
      </c>
      <c r="L67" s="182">
        <f t="shared" si="30"/>
        <v>0</v>
      </c>
      <c r="M67" s="268"/>
      <c r="N67" s="268"/>
      <c r="O67"/>
    </row>
    <row r="68" spans="1:15" ht="14.4" x14ac:dyDescent="0.3">
      <c r="A68" s="160" t="str">
        <f>Current!I9</f>
        <v>Terrestrial &amp; Aerial</v>
      </c>
      <c r="B68" s="163">
        <f>Current!J9</f>
        <v>0</v>
      </c>
      <c r="C68" s="255">
        <f t="shared" si="24"/>
        <v>0</v>
      </c>
      <c r="D68" s="269">
        <f t="shared" si="26"/>
        <v>0</v>
      </c>
      <c r="E68" s="269">
        <f t="shared" si="27"/>
        <v>0</v>
      </c>
      <c r="F68" s="269">
        <f t="shared" si="27"/>
        <v>0</v>
      </c>
      <c r="G68" s="182">
        <f>IFERROR(D68*Current!$L$13,"-")</f>
        <v>0</v>
      </c>
      <c r="H68" s="182">
        <f>IFERROR(E68*Current!$L$13,"-")</f>
        <v>0</v>
      </c>
      <c r="I68" s="182">
        <f>IFERROR(F68*Current!$L$13,"-")</f>
        <v>0</v>
      </c>
      <c r="J68" s="182">
        <f t="shared" si="28"/>
        <v>0</v>
      </c>
      <c r="K68" s="182">
        <f t="shared" si="29"/>
        <v>0</v>
      </c>
      <c r="L68" s="182">
        <f t="shared" si="30"/>
        <v>0</v>
      </c>
      <c r="M68" s="268"/>
      <c r="N68" s="268"/>
      <c r="O68"/>
    </row>
    <row r="69" spans="1:15" ht="16.2" thickBot="1" x14ac:dyDescent="0.35">
      <c r="A69" s="348" t="s">
        <v>312</v>
      </c>
      <c r="B69" s="270">
        <f>SUM(B62:B67,B68)</f>
        <v>49</v>
      </c>
      <c r="C69" s="271">
        <f t="shared" ref="C69:L69" si="31">SUM(C62:C68)</f>
        <v>1</v>
      </c>
      <c r="D69" s="272">
        <f t="shared" si="31"/>
        <v>20</v>
      </c>
      <c r="E69" s="272">
        <f t="shared" si="31"/>
        <v>22</v>
      </c>
      <c r="F69" s="272">
        <f t="shared" si="31"/>
        <v>24</v>
      </c>
      <c r="G69" s="272">
        <f t="shared" si="31"/>
        <v>326734.66666666663</v>
      </c>
      <c r="H69" s="272">
        <f t="shared" si="31"/>
        <v>359408.1333333333</v>
      </c>
      <c r="I69" s="272">
        <f t="shared" si="31"/>
        <v>392081.6</v>
      </c>
      <c r="J69" s="272">
        <f t="shared" si="31"/>
        <v>4901020</v>
      </c>
      <c r="K69" s="272">
        <f t="shared" si="31"/>
        <v>5391122</v>
      </c>
      <c r="L69" s="360">
        <f t="shared" si="31"/>
        <v>5881224</v>
      </c>
      <c r="M69" s="268"/>
      <c r="N69" s="268"/>
      <c r="O69"/>
    </row>
    <row r="70" spans="1:15" x14ac:dyDescent="0.25">
      <c r="A70" s="252"/>
      <c r="B70" s="252"/>
      <c r="C70" s="252"/>
      <c r="D70" s="252"/>
      <c r="E70" s="252"/>
      <c r="F70" s="252"/>
      <c r="G70" s="252"/>
      <c r="H70" s="252"/>
      <c r="I70" s="252"/>
      <c r="J70" s="252"/>
      <c r="K70" s="252"/>
      <c r="L70" s="252"/>
      <c r="M70" s="252"/>
      <c r="N70" s="252"/>
    </row>
    <row r="71" spans="1:15" ht="14.4" thickBot="1" x14ac:dyDescent="0.3">
      <c r="A71" s="267" t="s">
        <v>333</v>
      </c>
      <c r="B71" s="252"/>
      <c r="C71" s="252"/>
      <c r="D71" s="252"/>
      <c r="E71" s="252"/>
      <c r="F71" s="252"/>
      <c r="G71" s="252"/>
      <c r="H71" s="252"/>
      <c r="I71" s="252"/>
      <c r="J71" s="252"/>
      <c r="K71" s="252"/>
      <c r="L71" s="252"/>
      <c r="M71" s="252"/>
      <c r="N71" s="252"/>
    </row>
    <row r="72" spans="1:15" ht="14.4" x14ac:dyDescent="0.3">
      <c r="A72" s="359" t="s">
        <v>91</v>
      </c>
      <c r="B72" s="473" t="s">
        <v>313</v>
      </c>
      <c r="C72" s="473"/>
      <c r="D72" s="473"/>
      <c r="E72" s="473"/>
      <c r="F72" s="473"/>
      <c r="G72" s="476" t="s">
        <v>323</v>
      </c>
      <c r="H72" s="476"/>
      <c r="I72" s="476"/>
      <c r="J72" s="476" t="s">
        <v>325</v>
      </c>
      <c r="K72" s="476"/>
      <c r="L72" s="477"/>
      <c r="M72" s="268"/>
      <c r="N72" s="268"/>
      <c r="O72"/>
    </row>
    <row r="73" spans="1:15" ht="14.4" x14ac:dyDescent="0.3">
      <c r="A73" s="160" t="str">
        <f>Current!I1</f>
        <v>Use Case</v>
      </c>
      <c r="B73" s="161" t="str">
        <f>Current!J1</f>
        <v>Count</v>
      </c>
      <c r="C73" s="161" t="str">
        <f>Current!K1</f>
        <v>Share</v>
      </c>
      <c r="D73" s="358" t="s">
        <v>7</v>
      </c>
      <c r="E73" s="358" t="s">
        <v>76</v>
      </c>
      <c r="F73" s="358" t="s">
        <v>6</v>
      </c>
      <c r="G73" s="358" t="s">
        <v>7</v>
      </c>
      <c r="H73" s="358" t="s">
        <v>76</v>
      </c>
      <c r="I73" s="358" t="s">
        <v>6</v>
      </c>
      <c r="J73" s="358" t="s">
        <v>7</v>
      </c>
      <c r="K73" s="358" t="s">
        <v>76</v>
      </c>
      <c r="L73" s="186" t="s">
        <v>6</v>
      </c>
      <c r="M73" s="268"/>
      <c r="N73" s="268"/>
      <c r="O73"/>
    </row>
    <row r="74" spans="1:15" ht="14.4" x14ac:dyDescent="0.3">
      <c r="A74" s="160" t="str">
        <f>Current!I2</f>
        <v>Human Space Flight</v>
      </c>
      <c r="B74" s="273">
        <f>Current!W2</f>
        <v>16</v>
      </c>
      <c r="C74" s="255">
        <f t="shared" ref="C74:C79" si="32">B74/$B$38</f>
        <v>0.25396825396825395</v>
      </c>
      <c r="D74" s="166">
        <f t="shared" ref="D74:F80" si="33">ROUND($B74*(1+I$53),0)</f>
        <v>3</v>
      </c>
      <c r="E74" s="166">
        <f t="shared" si="33"/>
        <v>4</v>
      </c>
      <c r="F74" s="166">
        <f t="shared" si="33"/>
        <v>4</v>
      </c>
      <c r="G74" s="182">
        <f>D74*Current!$Y$13</f>
        <v>322025.07692307694</v>
      </c>
      <c r="H74" s="182">
        <f>E74*Current!$Y$13</f>
        <v>429366.76923076925</v>
      </c>
      <c r="I74" s="182">
        <f>F74*Current!$Y$13</f>
        <v>429366.76923076925</v>
      </c>
      <c r="J74" s="182">
        <f>G74*$O$7</f>
        <v>12881003.076923078</v>
      </c>
      <c r="K74" s="182">
        <f t="shared" ref="K74:L74" si="34">H74*$O$7</f>
        <v>17174670.769230768</v>
      </c>
      <c r="L74" s="182">
        <f t="shared" si="34"/>
        <v>17174670.769230768</v>
      </c>
      <c r="M74" s="268"/>
      <c r="N74" s="268"/>
      <c r="O74"/>
    </row>
    <row r="75" spans="1:15" ht="14.4" x14ac:dyDescent="0.3">
      <c r="A75" s="160" t="str">
        <f>Current!I3</f>
        <v>Near Earth Robotic - LEO Science</v>
      </c>
      <c r="B75" s="273">
        <f>Current!W3</f>
        <v>25</v>
      </c>
      <c r="C75" s="255">
        <f t="shared" si="32"/>
        <v>0.3968253968253968</v>
      </c>
      <c r="D75" s="166">
        <f t="shared" si="33"/>
        <v>5</v>
      </c>
      <c r="E75" s="166">
        <f t="shared" si="33"/>
        <v>6</v>
      </c>
      <c r="F75" s="166">
        <f t="shared" si="33"/>
        <v>6</v>
      </c>
      <c r="G75" s="182">
        <f>D75*Current!$Y$13</f>
        <v>536708.4615384615</v>
      </c>
      <c r="H75" s="182">
        <f>E75*Current!$Y$13</f>
        <v>644050.15384615387</v>
      </c>
      <c r="I75" s="182">
        <f>F75*Current!$Y$13</f>
        <v>644050.15384615387</v>
      </c>
      <c r="J75" s="182">
        <f t="shared" ref="J75:J80" si="35">G75*$O$7</f>
        <v>21468338.46153846</v>
      </c>
      <c r="K75" s="182">
        <f t="shared" ref="K75:K80" si="36">H75*$O$7</f>
        <v>25762006.153846156</v>
      </c>
      <c r="L75" s="182">
        <f t="shared" ref="L75:L80" si="37">I75*$O$7</f>
        <v>25762006.153846156</v>
      </c>
      <c r="M75" s="268"/>
      <c r="N75" s="268"/>
      <c r="O75"/>
    </row>
    <row r="76" spans="1:15" ht="14.4" x14ac:dyDescent="0.3">
      <c r="A76" s="160" t="str">
        <f>Current!I4</f>
        <v>Near Earth Robotic - GEO and Near Earth</v>
      </c>
      <c r="B76" s="273">
        <f>Current!W4</f>
        <v>4</v>
      </c>
      <c r="C76" s="255">
        <f t="shared" si="32"/>
        <v>6.3492063492063489E-2</v>
      </c>
      <c r="D76" s="166">
        <f t="shared" si="33"/>
        <v>1</v>
      </c>
      <c r="E76" s="166">
        <f t="shared" si="33"/>
        <v>1</v>
      </c>
      <c r="F76" s="166">
        <f t="shared" si="33"/>
        <v>1</v>
      </c>
      <c r="G76" s="182">
        <f>D76*Current!$Y$13</f>
        <v>107341.69230769231</v>
      </c>
      <c r="H76" s="182">
        <f>E76*Current!$Y$13</f>
        <v>107341.69230769231</v>
      </c>
      <c r="I76" s="182">
        <f>F76*Current!$Y$13</f>
        <v>107341.69230769231</v>
      </c>
      <c r="J76" s="182">
        <f t="shared" si="35"/>
        <v>4293667.692307692</v>
      </c>
      <c r="K76" s="182">
        <f t="shared" si="36"/>
        <v>4293667.692307692</v>
      </c>
      <c r="L76" s="182">
        <f t="shared" si="37"/>
        <v>4293667.692307692</v>
      </c>
      <c r="M76" s="268"/>
      <c r="N76" s="268"/>
      <c r="O76"/>
    </row>
    <row r="77" spans="1:15" ht="14.4" x14ac:dyDescent="0.3">
      <c r="A77" s="160" t="str">
        <f>Current!I5</f>
        <v>Deep Space Robotic</v>
      </c>
      <c r="B77" s="273">
        <f>Current!W5</f>
        <v>1</v>
      </c>
      <c r="C77" s="255">
        <f t="shared" si="32"/>
        <v>1.5873015873015872E-2</v>
      </c>
      <c r="D77" s="166">
        <f t="shared" si="33"/>
        <v>0</v>
      </c>
      <c r="E77" s="166">
        <f t="shared" si="33"/>
        <v>0</v>
      </c>
      <c r="F77" s="166">
        <f t="shared" si="33"/>
        <v>0</v>
      </c>
      <c r="G77" s="182">
        <f>D77*Current!$Y$13</f>
        <v>0</v>
      </c>
      <c r="H77" s="182">
        <f>E77*Current!$Y$13</f>
        <v>0</v>
      </c>
      <c r="I77" s="182">
        <f>F77*Current!$Y$13</f>
        <v>0</v>
      </c>
      <c r="J77" s="182">
        <f t="shared" si="35"/>
        <v>0</v>
      </c>
      <c r="K77" s="182">
        <f t="shared" si="36"/>
        <v>0</v>
      </c>
      <c r="L77" s="182">
        <f t="shared" si="37"/>
        <v>0</v>
      </c>
      <c r="M77" s="268"/>
      <c r="N77" s="268"/>
      <c r="O77"/>
    </row>
    <row r="78" spans="1:15" ht="14.4" x14ac:dyDescent="0.3">
      <c r="A78" s="160" t="str">
        <f>Current!I6</f>
        <v>Near Earth Robotic - Low Latency &amp; Complex Needs</v>
      </c>
      <c r="B78" s="273">
        <f>Current!W6</f>
        <v>2</v>
      </c>
      <c r="C78" s="255">
        <f t="shared" si="32"/>
        <v>3.1746031746031744E-2</v>
      </c>
      <c r="D78" s="166">
        <f t="shared" si="33"/>
        <v>0</v>
      </c>
      <c r="E78" s="166">
        <f t="shared" si="33"/>
        <v>0</v>
      </c>
      <c r="F78" s="166">
        <f t="shared" si="33"/>
        <v>1</v>
      </c>
      <c r="G78" s="182">
        <f>D78*Current!$Y$13</f>
        <v>0</v>
      </c>
      <c r="H78" s="182">
        <f>E78*Current!$Y$13</f>
        <v>0</v>
      </c>
      <c r="I78" s="182">
        <f>F78*Current!$Y$13</f>
        <v>107341.69230769231</v>
      </c>
      <c r="J78" s="182">
        <f t="shared" si="35"/>
        <v>0</v>
      </c>
      <c r="K78" s="182">
        <f t="shared" si="36"/>
        <v>0</v>
      </c>
      <c r="L78" s="182">
        <f t="shared" si="37"/>
        <v>4293667.692307692</v>
      </c>
      <c r="M78" s="268"/>
      <c r="N78" s="268"/>
      <c r="O78"/>
    </row>
    <row r="79" spans="1:15" ht="14.4" x14ac:dyDescent="0.3">
      <c r="A79" s="160" t="str">
        <f>Current!I7</f>
        <v>Mission Operations</v>
      </c>
      <c r="B79" s="273">
        <f>Current!W7</f>
        <v>0</v>
      </c>
      <c r="C79" s="255">
        <f t="shared" si="32"/>
        <v>0</v>
      </c>
      <c r="D79" s="166">
        <f t="shared" si="33"/>
        <v>0</v>
      </c>
      <c r="E79" s="166">
        <f t="shared" si="33"/>
        <v>0</v>
      </c>
      <c r="F79" s="166">
        <f t="shared" si="33"/>
        <v>0</v>
      </c>
      <c r="G79" s="182">
        <f>D79*Current!$Y$13</f>
        <v>0</v>
      </c>
      <c r="H79" s="182">
        <f>E79*Current!$Y$13</f>
        <v>0</v>
      </c>
      <c r="I79" s="182">
        <f>F79*Current!$Y$13</f>
        <v>0</v>
      </c>
      <c r="J79" s="182">
        <f t="shared" si="35"/>
        <v>0</v>
      </c>
      <c r="K79" s="182">
        <f t="shared" si="36"/>
        <v>0</v>
      </c>
      <c r="L79" s="182">
        <f t="shared" si="37"/>
        <v>0</v>
      </c>
      <c r="M79" s="268"/>
      <c r="N79" s="268"/>
      <c r="O79"/>
    </row>
    <row r="80" spans="1:15" ht="14.4" x14ac:dyDescent="0.3">
      <c r="A80" s="160" t="str">
        <f>Current!I9</f>
        <v>Terrestrial &amp; Aerial</v>
      </c>
      <c r="B80" s="273">
        <f>Current!W9</f>
        <v>15</v>
      </c>
      <c r="C80" s="255">
        <f>B80/$B$38</f>
        <v>0.23809523809523808</v>
      </c>
      <c r="D80" s="166">
        <f t="shared" si="33"/>
        <v>3</v>
      </c>
      <c r="E80" s="166">
        <f t="shared" si="33"/>
        <v>3</v>
      </c>
      <c r="F80" s="166">
        <f t="shared" si="33"/>
        <v>4</v>
      </c>
      <c r="G80" s="182">
        <f>D80*Current!$Y$13</f>
        <v>322025.07692307694</v>
      </c>
      <c r="H80" s="182">
        <f>E80*Current!$Y$13</f>
        <v>322025.07692307694</v>
      </c>
      <c r="I80" s="182">
        <f>F80*Current!$Y$13</f>
        <v>429366.76923076925</v>
      </c>
      <c r="J80" s="182">
        <f t="shared" si="35"/>
        <v>12881003.076923078</v>
      </c>
      <c r="K80" s="182">
        <f t="shared" si="36"/>
        <v>12881003.076923078</v>
      </c>
      <c r="L80" s="182">
        <f t="shared" si="37"/>
        <v>17174670.769230768</v>
      </c>
      <c r="M80" s="268"/>
      <c r="N80" s="268"/>
      <c r="O80"/>
    </row>
    <row r="81" spans="1:19" ht="16.2" thickBot="1" x14ac:dyDescent="0.35">
      <c r="A81" s="159" t="s">
        <v>312</v>
      </c>
      <c r="B81" s="270">
        <f>SUM(B74:B79,B80)</f>
        <v>63</v>
      </c>
      <c r="C81" s="271">
        <f t="shared" ref="C81:L81" si="38">SUM(C74:C80)</f>
        <v>0.99999999999999978</v>
      </c>
      <c r="D81" s="272">
        <f t="shared" si="38"/>
        <v>12</v>
      </c>
      <c r="E81" s="272">
        <f t="shared" si="38"/>
        <v>14</v>
      </c>
      <c r="F81" s="272">
        <f t="shared" si="38"/>
        <v>16</v>
      </c>
      <c r="G81" s="272">
        <f t="shared" si="38"/>
        <v>1288100.3076923077</v>
      </c>
      <c r="H81" s="272">
        <f t="shared" si="38"/>
        <v>1502783.6923076923</v>
      </c>
      <c r="I81" s="272">
        <f t="shared" si="38"/>
        <v>1717467.0769230768</v>
      </c>
      <c r="J81" s="272">
        <f t="shared" si="38"/>
        <v>51524012.307692312</v>
      </c>
      <c r="K81" s="272">
        <f t="shared" si="38"/>
        <v>60111347.692307703</v>
      </c>
      <c r="L81" s="360">
        <f t="shared" si="38"/>
        <v>68698683.076923087</v>
      </c>
      <c r="M81" s="268"/>
      <c r="N81" s="268"/>
      <c r="O81"/>
    </row>
    <row r="83" spans="1:19" ht="14.4" customHeight="1" x14ac:dyDescent="0.25"/>
    <row r="84" spans="1:19" s="194" customFormat="1" x14ac:dyDescent="0.25">
      <c r="S84" s="220"/>
    </row>
    <row r="85" spans="1:19" ht="14.4" thickBot="1" x14ac:dyDescent="0.3">
      <c r="A85" s="136" t="s">
        <v>165</v>
      </c>
    </row>
    <row r="86" spans="1:19" x14ac:dyDescent="0.25">
      <c r="A86" s="462" t="s">
        <v>166</v>
      </c>
      <c r="B86" s="463"/>
      <c r="C86" s="463"/>
      <c r="D86" s="464"/>
      <c r="E86" s="60"/>
      <c r="K86" s="462" t="s">
        <v>337</v>
      </c>
      <c r="L86" s="463"/>
      <c r="M86" s="463"/>
      <c r="N86" s="463"/>
      <c r="O86" s="464"/>
    </row>
    <row r="87" spans="1:19" x14ac:dyDescent="0.25">
      <c r="A87" s="229" t="s">
        <v>5</v>
      </c>
      <c r="B87" s="230" t="s">
        <v>8</v>
      </c>
      <c r="C87" s="230" t="s">
        <v>9</v>
      </c>
      <c r="D87" s="141" t="s">
        <v>98</v>
      </c>
      <c r="K87" s="214" t="s">
        <v>338</v>
      </c>
      <c r="L87" s="215" t="s">
        <v>339</v>
      </c>
      <c r="M87" s="211" t="s">
        <v>7</v>
      </c>
      <c r="N87" s="211" t="s">
        <v>76</v>
      </c>
      <c r="O87" s="186" t="s">
        <v>6</v>
      </c>
    </row>
    <row r="88" spans="1:19" ht="27.6" x14ac:dyDescent="0.25">
      <c r="A88" s="231" t="s">
        <v>89</v>
      </c>
      <c r="B88" s="15" t="s">
        <v>90</v>
      </c>
      <c r="C88" s="15">
        <v>2</v>
      </c>
      <c r="D88" s="16" t="s">
        <v>99</v>
      </c>
      <c r="K88" s="465" t="s">
        <v>335</v>
      </c>
      <c r="L88" s="216" t="s">
        <v>340</v>
      </c>
      <c r="M88" s="203">
        <f>J26</f>
        <v>5391122</v>
      </c>
      <c r="N88" s="203">
        <f>K26</f>
        <v>5881224</v>
      </c>
      <c r="O88" s="205">
        <f>L26</f>
        <v>6371326</v>
      </c>
    </row>
    <row r="89" spans="1:19" ht="41.4" x14ac:dyDescent="0.25">
      <c r="A89" s="231" t="s">
        <v>97</v>
      </c>
      <c r="B89" s="15" t="s">
        <v>90</v>
      </c>
      <c r="C89" s="15">
        <v>63.7</v>
      </c>
      <c r="D89" s="204" t="s">
        <v>100</v>
      </c>
      <c r="K89" s="465"/>
      <c r="L89" s="216" t="s">
        <v>341</v>
      </c>
      <c r="M89" s="203">
        <f>J38</f>
        <v>85873353.846153855</v>
      </c>
      <c r="N89" s="203">
        <f>K38</f>
        <v>85873353.846153855</v>
      </c>
      <c r="O89" s="205">
        <f>L38</f>
        <v>94460689.230769247</v>
      </c>
    </row>
    <row r="90" spans="1:19" ht="27.6" x14ac:dyDescent="0.25">
      <c r="A90" s="231" t="s">
        <v>156</v>
      </c>
      <c r="B90" s="15" t="s">
        <v>101</v>
      </c>
      <c r="C90" s="15">
        <v>500</v>
      </c>
      <c r="D90" s="16" t="s">
        <v>99</v>
      </c>
      <c r="K90" s="465"/>
      <c r="L90" s="216" t="s">
        <v>342</v>
      </c>
      <c r="M90" s="203">
        <f>M45</f>
        <v>0</v>
      </c>
      <c r="N90" s="203">
        <f>K45</f>
        <v>167453040</v>
      </c>
      <c r="O90" s="205">
        <f>O45</f>
        <v>0</v>
      </c>
    </row>
    <row r="91" spans="1:19" ht="27.6" x14ac:dyDescent="0.25">
      <c r="A91" s="231" t="s">
        <v>157</v>
      </c>
      <c r="B91" s="15" t="s">
        <v>90</v>
      </c>
      <c r="C91" s="278">
        <v>0.5</v>
      </c>
      <c r="D91" s="16" t="s">
        <v>99</v>
      </c>
      <c r="K91" s="465" t="s">
        <v>336</v>
      </c>
      <c r="L91" s="216" t="s">
        <v>343</v>
      </c>
      <c r="M91" s="203">
        <f>J69</f>
        <v>4901020</v>
      </c>
      <c r="N91" s="203">
        <f>K69</f>
        <v>5391122</v>
      </c>
      <c r="O91" s="205">
        <f>L69</f>
        <v>5881224</v>
      </c>
    </row>
    <row r="92" spans="1:19" ht="28.2" thickBot="1" x14ac:dyDescent="0.3">
      <c r="A92" s="200" t="s">
        <v>148</v>
      </c>
      <c r="B92" s="17" t="s">
        <v>90</v>
      </c>
      <c r="C92" s="201">
        <v>3</v>
      </c>
      <c r="D92" s="143" t="s">
        <v>99</v>
      </c>
      <c r="K92" s="474"/>
      <c r="L92" s="206" t="s">
        <v>344</v>
      </c>
      <c r="M92" s="207">
        <f>J81</f>
        <v>51524012.307692312</v>
      </c>
      <c r="N92" s="207">
        <f>K81</f>
        <v>60111347.692307703</v>
      </c>
      <c r="O92" s="208">
        <f>L81</f>
        <v>68698683.076923087</v>
      </c>
    </row>
    <row r="93" spans="1:19" ht="14.4" thickBot="1" x14ac:dyDescent="0.3"/>
    <row r="94" spans="1:19" ht="14.4" thickBot="1" x14ac:dyDescent="0.3">
      <c r="K94" s="471" t="s">
        <v>84</v>
      </c>
      <c r="L94" s="472"/>
      <c r="M94" s="209">
        <f>SUM(M88:M92)</f>
        <v>147689508.15384617</v>
      </c>
      <c r="N94" s="209">
        <f>SUM(N88:N92)</f>
        <v>324710087.53846157</v>
      </c>
      <c r="O94" s="210">
        <f>SUM(O88:O92)</f>
        <v>175411922.30769235</v>
      </c>
    </row>
    <row r="95" spans="1:19" ht="14.4" x14ac:dyDescent="0.3">
      <c r="A95"/>
      <c r="B95"/>
      <c r="C95"/>
      <c r="D95"/>
      <c r="E95"/>
      <c r="F95"/>
      <c r="G95"/>
      <c r="H95"/>
      <c r="J95"/>
      <c r="K95"/>
    </row>
    <row r="96" spans="1:19" ht="14.4" x14ac:dyDescent="0.3">
      <c r="A96"/>
      <c r="B96"/>
      <c r="C96"/>
      <c r="D96"/>
      <c r="E96"/>
      <c r="F96"/>
      <c r="G96"/>
      <c r="H96"/>
      <c r="J96"/>
      <c r="K96"/>
    </row>
    <row r="99" spans="2:19" s="194" customFormat="1" x14ac:dyDescent="0.25">
      <c r="S99" s="220"/>
    </row>
    <row r="100" spans="2:19" ht="14.4" thickBot="1" x14ac:dyDescent="0.3"/>
    <row r="101" spans="2:19" ht="14.4" customHeight="1" x14ac:dyDescent="0.25">
      <c r="B101" s="462" t="s">
        <v>323</v>
      </c>
      <c r="C101" s="463"/>
      <c r="D101" s="463"/>
      <c r="E101" s="463"/>
      <c r="F101" s="464"/>
      <c r="H101" s="462" t="s">
        <v>324</v>
      </c>
      <c r="I101" s="463"/>
      <c r="J101" s="463"/>
      <c r="K101" s="463"/>
      <c r="L101" s="464"/>
      <c r="N101" s="462" t="s">
        <v>337</v>
      </c>
      <c r="O101" s="463"/>
      <c r="P101" s="463"/>
      <c r="Q101" s="463"/>
      <c r="R101" s="464"/>
    </row>
    <row r="102" spans="2:19" ht="13.8" customHeight="1" x14ac:dyDescent="0.25">
      <c r="B102" s="286" t="s">
        <v>338</v>
      </c>
      <c r="C102" s="287" t="s">
        <v>339</v>
      </c>
      <c r="D102" s="284" t="s">
        <v>7</v>
      </c>
      <c r="E102" s="284" t="s">
        <v>76</v>
      </c>
      <c r="F102" s="186" t="s">
        <v>6</v>
      </c>
      <c r="H102" s="286" t="s">
        <v>338</v>
      </c>
      <c r="I102" s="287" t="s">
        <v>339</v>
      </c>
      <c r="J102" s="284" t="s">
        <v>7</v>
      </c>
      <c r="K102" s="284" t="s">
        <v>76</v>
      </c>
      <c r="L102" s="186" t="s">
        <v>6</v>
      </c>
      <c r="N102" s="250" t="s">
        <v>338</v>
      </c>
      <c r="O102" s="251" t="s">
        <v>339</v>
      </c>
      <c r="P102" s="248" t="s">
        <v>7</v>
      </c>
      <c r="Q102" s="248" t="s">
        <v>76</v>
      </c>
      <c r="R102" s="186" t="s">
        <v>6</v>
      </c>
    </row>
    <row r="103" spans="2:19" ht="27.6" x14ac:dyDescent="0.25">
      <c r="B103" s="465" t="s">
        <v>335</v>
      </c>
      <c r="C103" s="285" t="s">
        <v>340</v>
      </c>
      <c r="D103" s="203">
        <f>G26</f>
        <v>359408.1333333333</v>
      </c>
      <c r="E103" s="203">
        <f>H26</f>
        <v>392081.6</v>
      </c>
      <c r="F103" s="205">
        <f>I26</f>
        <v>424755.06666666665</v>
      </c>
      <c r="H103" s="465" t="s">
        <v>335</v>
      </c>
      <c r="I103" s="285" t="s">
        <v>340</v>
      </c>
      <c r="J103" s="203">
        <f>J26</f>
        <v>5391122</v>
      </c>
      <c r="K103" s="203">
        <f>K26</f>
        <v>5881224</v>
      </c>
      <c r="L103" s="205">
        <f>L26</f>
        <v>6371326</v>
      </c>
      <c r="N103" s="465" t="s">
        <v>335</v>
      </c>
      <c r="O103" s="249" t="s">
        <v>340</v>
      </c>
      <c r="P103" s="203">
        <f>N26</f>
        <v>0</v>
      </c>
      <c r="Q103" s="203">
        <f>O26</f>
        <v>0</v>
      </c>
      <c r="R103" s="205">
        <f>P26</f>
        <v>0</v>
      </c>
    </row>
    <row r="104" spans="2:19" ht="27.6" x14ac:dyDescent="0.25">
      <c r="B104" s="465"/>
      <c r="C104" s="285" t="s">
        <v>341</v>
      </c>
      <c r="D104" s="203">
        <f>G38</f>
        <v>2146833.846153846</v>
      </c>
      <c r="E104" s="203">
        <f>H38</f>
        <v>2146833.846153846</v>
      </c>
      <c r="F104" s="205">
        <f>I38</f>
        <v>2361517.2307692305</v>
      </c>
      <c r="H104" s="465"/>
      <c r="I104" s="285" t="s">
        <v>341</v>
      </c>
      <c r="J104" s="203">
        <f>J38</f>
        <v>85873353.846153855</v>
      </c>
      <c r="K104" s="203">
        <f>K38</f>
        <v>85873353.846153855</v>
      </c>
      <c r="L104" s="205">
        <f>L38</f>
        <v>94460689.230769247</v>
      </c>
      <c r="N104" s="465"/>
      <c r="O104" s="249" t="s">
        <v>341</v>
      </c>
      <c r="P104" s="203">
        <f>N38</f>
        <v>0</v>
      </c>
      <c r="Q104" s="203">
        <f>O38</f>
        <v>0</v>
      </c>
      <c r="R104" s="205">
        <f>P38</f>
        <v>0</v>
      </c>
    </row>
    <row r="105" spans="2:19" ht="27.6" x14ac:dyDescent="0.25">
      <c r="B105" s="465"/>
      <c r="C105" s="285" t="s">
        <v>342</v>
      </c>
      <c r="D105" s="203">
        <f>G45</f>
        <v>3542275.8461538465</v>
      </c>
      <c r="E105" s="203">
        <f>H45</f>
        <v>4186326</v>
      </c>
      <c r="F105" s="205">
        <f>I45</f>
        <v>4830376.153846154</v>
      </c>
      <c r="H105" s="465"/>
      <c r="I105" s="285" t="s">
        <v>342</v>
      </c>
      <c r="J105" s="203">
        <f>J45</f>
        <v>141691033.84615386</v>
      </c>
      <c r="K105" s="203">
        <f>K45</f>
        <v>167453040</v>
      </c>
      <c r="L105" s="205">
        <f>L45</f>
        <v>193215046.15384614</v>
      </c>
      <c r="N105" s="465"/>
      <c r="O105" s="249" t="s">
        <v>342</v>
      </c>
      <c r="P105" s="203">
        <f>N45</f>
        <v>0</v>
      </c>
      <c r="Q105" s="203">
        <f>O45</f>
        <v>0</v>
      </c>
      <c r="R105" s="205">
        <f>P45</f>
        <v>0</v>
      </c>
    </row>
    <row r="106" spans="2:19" ht="27.6" x14ac:dyDescent="0.25">
      <c r="B106" s="465" t="s">
        <v>336</v>
      </c>
      <c r="C106" s="285" t="s">
        <v>343</v>
      </c>
      <c r="D106" s="203">
        <f>G69</f>
        <v>326734.66666666663</v>
      </c>
      <c r="E106" s="203">
        <f>H69</f>
        <v>359408.1333333333</v>
      </c>
      <c r="F106" s="205">
        <f>I69</f>
        <v>392081.6</v>
      </c>
      <c r="H106" s="465" t="s">
        <v>336</v>
      </c>
      <c r="I106" s="285" t="s">
        <v>343</v>
      </c>
      <c r="J106" s="203">
        <f>J69</f>
        <v>4901020</v>
      </c>
      <c r="K106" s="203">
        <f>K69</f>
        <v>5391122</v>
      </c>
      <c r="L106" s="205">
        <f>L69</f>
        <v>5881224</v>
      </c>
      <c r="N106" s="465" t="s">
        <v>336</v>
      </c>
      <c r="O106" s="249" t="s">
        <v>343</v>
      </c>
      <c r="P106" s="203">
        <f>N69</f>
        <v>0</v>
      </c>
      <c r="Q106" s="203">
        <f>O69</f>
        <v>0</v>
      </c>
      <c r="R106" s="205">
        <f>P69</f>
        <v>0</v>
      </c>
    </row>
    <row r="107" spans="2:19" ht="28.2" thickBot="1" x14ac:dyDescent="0.3">
      <c r="B107" s="474"/>
      <c r="C107" s="206" t="s">
        <v>344</v>
      </c>
      <c r="D107" s="207">
        <f>G81</f>
        <v>1288100.3076923077</v>
      </c>
      <c r="E107" s="207">
        <f>H81</f>
        <v>1502783.6923076923</v>
      </c>
      <c r="F107" s="208">
        <f>I81</f>
        <v>1717467.0769230768</v>
      </c>
      <c r="H107" s="474"/>
      <c r="I107" s="206" t="s">
        <v>344</v>
      </c>
      <c r="J107" s="207">
        <f>J81</f>
        <v>51524012.307692312</v>
      </c>
      <c r="K107" s="207">
        <f>K81</f>
        <v>60111347.692307703</v>
      </c>
      <c r="L107" s="208">
        <f>L81</f>
        <v>68698683.076923087</v>
      </c>
      <c r="N107" s="474"/>
      <c r="O107" s="206" t="s">
        <v>344</v>
      </c>
      <c r="P107" s="207">
        <f>N81</f>
        <v>0</v>
      </c>
      <c r="Q107" s="207">
        <f>O81</f>
        <v>0</v>
      </c>
      <c r="R107" s="208">
        <f>P81</f>
        <v>0</v>
      </c>
    </row>
    <row r="108" spans="2:19" ht="14.4" thickBot="1" x14ac:dyDescent="0.3"/>
    <row r="109" spans="2:19" ht="14.4" thickBot="1" x14ac:dyDescent="0.3">
      <c r="B109" s="471" t="s">
        <v>84</v>
      </c>
      <c r="C109" s="472"/>
      <c r="D109" s="209">
        <f>SUM(D103:D107)</f>
        <v>7663352.8000000007</v>
      </c>
      <c r="E109" s="209">
        <f>SUM(E103:E107)</f>
        <v>8587433.2717948705</v>
      </c>
      <c r="F109" s="210">
        <f>SUM(F103:F107)</f>
        <v>9726197.128205128</v>
      </c>
      <c r="H109" s="471" t="s">
        <v>84</v>
      </c>
      <c r="I109" s="472"/>
      <c r="J109" s="209">
        <f>SUM(J103:J107)</f>
        <v>289380542</v>
      </c>
      <c r="K109" s="209">
        <f>SUM(K103:K107)</f>
        <v>324710087.53846157</v>
      </c>
      <c r="L109" s="210">
        <f>SUM(L103:L107)</f>
        <v>368626968.46153849</v>
      </c>
      <c r="N109" s="471" t="s">
        <v>84</v>
      </c>
      <c r="O109" s="472"/>
      <c r="P109" s="209">
        <f>SUM(P103:P107)</f>
        <v>0</v>
      </c>
      <c r="Q109" s="209">
        <f>SUM(Q103:Q107)</f>
        <v>0</v>
      </c>
      <c r="R109" s="210">
        <f>SUM(R103:R107)</f>
        <v>0</v>
      </c>
    </row>
  </sheetData>
  <mergeCells count="48">
    <mergeCell ref="B106:B107"/>
    <mergeCell ref="H106:H107"/>
    <mergeCell ref="N106:N107"/>
    <mergeCell ref="B109:C109"/>
    <mergeCell ref="H109:I109"/>
    <mergeCell ref="N109:O109"/>
    <mergeCell ref="B101:F101"/>
    <mergeCell ref="H101:L101"/>
    <mergeCell ref="N101:R101"/>
    <mergeCell ref="B103:B105"/>
    <mergeCell ref="H103:H105"/>
    <mergeCell ref="N103:N105"/>
    <mergeCell ref="A86:D86"/>
    <mergeCell ref="B29:F29"/>
    <mergeCell ref="A50:B51"/>
    <mergeCell ref="A55:B55"/>
    <mergeCell ref="B72:F72"/>
    <mergeCell ref="F50:H50"/>
    <mergeCell ref="C50:E50"/>
    <mergeCell ref="B60:F60"/>
    <mergeCell ref="G60:I60"/>
    <mergeCell ref="A56:B56"/>
    <mergeCell ref="A57:B57"/>
    <mergeCell ref="B41:F41"/>
    <mergeCell ref="A2:O2"/>
    <mergeCell ref="I5:K5"/>
    <mergeCell ref="C5:E5"/>
    <mergeCell ref="B17:F17"/>
    <mergeCell ref="F5:H5"/>
    <mergeCell ref="A5:B6"/>
    <mergeCell ref="A11:B11"/>
    <mergeCell ref="A12:B12"/>
    <mergeCell ref="A13:B13"/>
    <mergeCell ref="J17:L17"/>
    <mergeCell ref="L50:N50"/>
    <mergeCell ref="G17:I17"/>
    <mergeCell ref="J29:L29"/>
    <mergeCell ref="K94:L94"/>
    <mergeCell ref="I50:K50"/>
    <mergeCell ref="G29:I29"/>
    <mergeCell ref="G41:I41"/>
    <mergeCell ref="K91:K92"/>
    <mergeCell ref="K88:K90"/>
    <mergeCell ref="K86:O86"/>
    <mergeCell ref="J41:L41"/>
    <mergeCell ref="J60:L60"/>
    <mergeCell ref="G72:I72"/>
    <mergeCell ref="J72:L72"/>
  </mergeCells>
  <pageMargins left="0.75" right="0.75" top="1" bottom="1" header="0.5" footer="0.5"/>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5DEC96-EFAE-40CA-9C23-700BE1CA064F}">
  <sheetPr>
    <tabColor rgb="FF105BD8"/>
  </sheetPr>
  <dimension ref="A1:Y109"/>
  <sheetViews>
    <sheetView showGridLines="0" zoomScale="85" zoomScaleNormal="85" workbookViewId="0">
      <selection activeCell="P82" sqref="P82"/>
    </sheetView>
  </sheetViews>
  <sheetFormatPr defaultColWidth="8.88671875" defaultRowHeight="13.8" x14ac:dyDescent="0.25"/>
  <cols>
    <col min="1" max="1" width="54.33203125" style="134" bestFit="1" customWidth="1"/>
    <col min="2" max="2" width="27.88671875" style="134" bestFit="1" customWidth="1"/>
    <col min="3" max="3" width="19.44140625" style="134" customWidth="1"/>
    <col min="4" max="4" width="16.88671875" style="134" bestFit="1" customWidth="1"/>
    <col min="5" max="5" width="16.21875" style="134" customWidth="1"/>
    <col min="6" max="6" width="11" style="134" customWidth="1"/>
    <col min="7" max="7" width="12.6640625" style="134" bestFit="1" customWidth="1"/>
    <col min="8" max="9" width="15.6640625" style="134" bestFit="1" customWidth="1"/>
    <col min="10" max="10" width="17.44140625" style="134" bestFit="1" customWidth="1"/>
    <col min="11" max="11" width="14.77734375" style="134" bestFit="1" customWidth="1"/>
    <col min="12" max="12" width="14" style="134" customWidth="1"/>
    <col min="13" max="13" width="18.5546875" style="134" customWidth="1"/>
    <col min="14" max="14" width="23.33203125" style="134" customWidth="1"/>
    <col min="15" max="15" width="23.88671875" style="134" bestFit="1" customWidth="1"/>
    <col min="16" max="16" width="27.33203125" style="134" bestFit="1" customWidth="1"/>
    <col min="17" max="17" width="18.109375" style="134" bestFit="1" customWidth="1"/>
    <col min="18" max="18" width="17.44140625" style="134" bestFit="1" customWidth="1"/>
    <col min="19" max="19" width="27.33203125" style="218" bestFit="1" customWidth="1"/>
    <col min="20" max="20" width="12.33203125" style="134" bestFit="1" customWidth="1"/>
    <col min="21" max="21" width="11.44140625" style="134" bestFit="1" customWidth="1"/>
    <col min="22" max="22" width="10.44140625" style="134" bestFit="1" customWidth="1"/>
    <col min="23" max="23" width="11.21875" style="134" bestFit="1" customWidth="1"/>
    <col min="24" max="24" width="11.44140625" style="134" bestFit="1" customWidth="1"/>
    <col min="25" max="25" width="11.77734375" style="134" bestFit="1" customWidth="1"/>
    <col min="26" max="16384" width="8.88671875" style="134"/>
  </cols>
  <sheetData>
    <row r="1" spans="1:25" s="131" customFormat="1" x14ac:dyDescent="0.25">
      <c r="A1" s="137"/>
      <c r="B1" s="13"/>
      <c r="C1" s="137"/>
      <c r="D1" s="137"/>
      <c r="E1" s="137"/>
      <c r="F1" s="137"/>
      <c r="G1" s="138"/>
      <c r="H1" s="137"/>
      <c r="I1" s="137"/>
      <c r="J1" s="137"/>
      <c r="K1" s="137"/>
      <c r="M1" s="137"/>
      <c r="N1" s="137"/>
      <c r="O1" s="137"/>
      <c r="P1" s="137"/>
      <c r="Q1" s="137"/>
      <c r="R1" s="137"/>
      <c r="S1" s="80"/>
    </row>
    <row r="2" spans="1:25" s="132" customFormat="1" ht="21" x14ac:dyDescent="0.4">
      <c r="A2" s="478" t="s">
        <v>539</v>
      </c>
      <c r="B2" s="478"/>
      <c r="C2" s="478"/>
      <c r="D2" s="478"/>
      <c r="E2" s="478"/>
      <c r="F2" s="478"/>
      <c r="G2" s="478"/>
      <c r="H2" s="478"/>
      <c r="I2" s="478"/>
      <c r="J2" s="478"/>
      <c r="K2" s="478"/>
      <c r="L2" s="478"/>
      <c r="M2" s="478"/>
      <c r="N2" s="478"/>
      <c r="O2" s="478"/>
      <c r="S2" s="217"/>
    </row>
    <row r="3" spans="1:25" s="132" customFormat="1" x14ac:dyDescent="0.25">
      <c r="A3" s="443"/>
      <c r="B3" s="444"/>
      <c r="C3" s="445"/>
      <c r="G3" s="446"/>
      <c r="S3" s="217"/>
    </row>
    <row r="4" spans="1:25" ht="16.2" thickBot="1" x14ac:dyDescent="0.35">
      <c r="A4" s="195" t="s">
        <v>327</v>
      </c>
      <c r="P4" s="2"/>
      <c r="Q4" s="2"/>
    </row>
    <row r="5" spans="1:25" s="133" customFormat="1" ht="14.4" customHeight="1" x14ac:dyDescent="0.25">
      <c r="A5" s="480" t="s">
        <v>316</v>
      </c>
      <c r="B5" s="473"/>
      <c r="C5" s="473" t="s">
        <v>72</v>
      </c>
      <c r="D5" s="473"/>
      <c r="E5" s="473"/>
      <c r="F5" s="473" t="s">
        <v>73</v>
      </c>
      <c r="G5" s="473"/>
      <c r="H5" s="473"/>
      <c r="I5" s="473" t="s">
        <v>72</v>
      </c>
      <c r="J5" s="473"/>
      <c r="K5" s="479"/>
      <c r="L5" s="2"/>
      <c r="M5" s="2"/>
      <c r="N5" s="437" t="s">
        <v>506</v>
      </c>
      <c r="O5" s="438" t="s">
        <v>348</v>
      </c>
      <c r="P5" s="2"/>
      <c r="Q5" s="2"/>
      <c r="S5" s="497" t="s">
        <v>321</v>
      </c>
      <c r="T5" s="498"/>
      <c r="U5" s="498"/>
      <c r="V5" s="498"/>
      <c r="W5" s="498"/>
      <c r="X5" s="498"/>
      <c r="Y5" s="499"/>
    </row>
    <row r="6" spans="1:25" s="132" customFormat="1" x14ac:dyDescent="0.25">
      <c r="A6" s="481"/>
      <c r="B6" s="482"/>
      <c r="C6" s="382" t="s">
        <v>7</v>
      </c>
      <c r="D6" s="382" t="s">
        <v>76</v>
      </c>
      <c r="E6" s="382" t="s">
        <v>6</v>
      </c>
      <c r="F6" s="382" t="s">
        <v>7</v>
      </c>
      <c r="G6" s="382" t="s">
        <v>76</v>
      </c>
      <c r="H6" s="382" t="s">
        <v>6</v>
      </c>
      <c r="I6" s="382" t="s">
        <v>7</v>
      </c>
      <c r="J6" s="382" t="s">
        <v>76</v>
      </c>
      <c r="K6" s="141" t="s">
        <v>6</v>
      </c>
      <c r="L6" s="2"/>
      <c r="M6" s="2"/>
      <c r="N6" s="439" t="s">
        <v>346</v>
      </c>
      <c r="O6" s="24">
        <f>Main!C12</f>
        <v>15</v>
      </c>
      <c r="P6" s="2"/>
      <c r="Q6" s="2"/>
      <c r="S6" s="495" t="s">
        <v>377</v>
      </c>
      <c r="T6" s="482" t="s">
        <v>72</v>
      </c>
      <c r="U6" s="482"/>
      <c r="V6" s="482"/>
      <c r="W6" s="482" t="s">
        <v>73</v>
      </c>
      <c r="X6" s="482"/>
      <c r="Y6" s="482"/>
    </row>
    <row r="7" spans="1:25" x14ac:dyDescent="0.25">
      <c r="A7" s="21" t="s">
        <v>74</v>
      </c>
      <c r="B7" s="372" t="s">
        <v>75</v>
      </c>
      <c r="C7" s="15">
        <v>22</v>
      </c>
      <c r="D7" s="15">
        <v>24</v>
      </c>
      <c r="E7" s="15">
        <v>26</v>
      </c>
      <c r="F7" s="15">
        <v>49</v>
      </c>
      <c r="G7" s="15">
        <v>67</v>
      </c>
      <c r="H7" s="15">
        <v>85</v>
      </c>
      <c r="I7" s="139">
        <f>(C7-$B$26)/$B$26</f>
        <v>-0.55102040816326525</v>
      </c>
      <c r="J7" s="139">
        <f>(D7-$B$26)/$B$26</f>
        <v>-0.51020408163265307</v>
      </c>
      <c r="K7" s="47">
        <f>(E7-$B$26)/$B$26</f>
        <v>-0.46938775510204084</v>
      </c>
      <c r="L7" s="2"/>
      <c r="M7" s="2"/>
      <c r="N7" s="439" t="s">
        <v>347</v>
      </c>
      <c r="O7" s="24">
        <f>Main!C13</f>
        <v>40</v>
      </c>
      <c r="P7" s="2"/>
      <c r="Q7" s="2"/>
      <c r="S7" s="496"/>
      <c r="T7" s="382" t="s">
        <v>7</v>
      </c>
      <c r="U7" s="382" t="s">
        <v>76</v>
      </c>
      <c r="V7" s="382" t="s">
        <v>6</v>
      </c>
      <c r="W7" s="382" t="s">
        <v>7</v>
      </c>
      <c r="X7" s="382" t="s">
        <v>76</v>
      </c>
      <c r="Y7" s="382" t="s">
        <v>6</v>
      </c>
    </row>
    <row r="8" spans="1:25" x14ac:dyDescent="0.25">
      <c r="A8" s="21"/>
      <c r="B8" s="372" t="s">
        <v>77</v>
      </c>
      <c r="C8" s="15">
        <v>19</v>
      </c>
      <c r="D8" s="15">
        <v>21</v>
      </c>
      <c r="E8" s="15">
        <v>23</v>
      </c>
      <c r="F8" s="15">
        <v>49</v>
      </c>
      <c r="G8" s="15">
        <v>67</v>
      </c>
      <c r="H8" s="15">
        <v>85</v>
      </c>
      <c r="I8" s="139">
        <f>(C8-$B$38)/$B$38</f>
        <v>-0.69841269841269837</v>
      </c>
      <c r="J8" s="139">
        <f>(D8-$B$38)/$B$38</f>
        <v>-0.66666666666666663</v>
      </c>
      <c r="K8" s="47">
        <f>(E8-$B$38)/$B$38</f>
        <v>-0.63492063492063489</v>
      </c>
      <c r="L8" s="2"/>
      <c r="M8" s="2"/>
      <c r="N8" s="2"/>
      <c r="O8" s="2"/>
      <c r="P8" s="2"/>
      <c r="Q8" s="2"/>
      <c r="S8" s="274" t="s">
        <v>378</v>
      </c>
      <c r="T8" s="181">
        <f t="shared" ref="T8:Y8" si="0">C11</f>
        <v>702</v>
      </c>
      <c r="U8" s="181">
        <f t="shared" si="0"/>
        <v>250000</v>
      </c>
      <c r="V8" s="181">
        <f t="shared" si="0"/>
        <v>525600</v>
      </c>
      <c r="W8" s="181">
        <f t="shared" si="0"/>
        <v>525600</v>
      </c>
      <c r="X8" s="181">
        <f t="shared" si="0"/>
        <v>750000</v>
      </c>
      <c r="Y8" s="181">
        <f t="shared" si="0"/>
        <v>1000000</v>
      </c>
    </row>
    <row r="9" spans="1:25" x14ac:dyDescent="0.25">
      <c r="A9" s="21"/>
      <c r="B9" s="372" t="s">
        <v>318</v>
      </c>
      <c r="C9" s="15">
        <v>33</v>
      </c>
      <c r="D9" s="15">
        <v>39</v>
      </c>
      <c r="E9" s="15">
        <v>45</v>
      </c>
      <c r="F9" s="15">
        <v>20</v>
      </c>
      <c r="G9" s="15">
        <v>32</v>
      </c>
      <c r="H9" s="15">
        <v>45</v>
      </c>
      <c r="I9" s="139">
        <f>(C9-($B$45))/($B$45)</f>
        <v>15.5</v>
      </c>
      <c r="J9" s="139">
        <f>(D9-($B$45))/($B$45)</f>
        <v>18.5</v>
      </c>
      <c r="K9" s="47">
        <f>(E9-($B$45))/($B$45)</f>
        <v>21.5</v>
      </c>
      <c r="L9" s="2"/>
      <c r="M9" s="2"/>
      <c r="N9" s="2"/>
      <c r="O9" s="2"/>
      <c r="P9" s="2"/>
      <c r="Q9" s="2"/>
      <c r="S9" s="274" t="s">
        <v>379</v>
      </c>
      <c r="T9" s="203">
        <f t="shared" ref="T9:Y9" si="1">C55</f>
        <v>89840</v>
      </c>
      <c r="U9" s="203">
        <f t="shared" si="1"/>
        <v>250000</v>
      </c>
      <c r="V9" s="203">
        <f t="shared" si="1"/>
        <v>525600</v>
      </c>
      <c r="W9" s="203">
        <f t="shared" si="1"/>
        <v>525600</v>
      </c>
      <c r="X9" s="203">
        <f t="shared" si="1"/>
        <v>750000</v>
      </c>
      <c r="Y9" s="203">
        <f t="shared" si="1"/>
        <v>1000000</v>
      </c>
    </row>
    <row r="10" spans="1:25" x14ac:dyDescent="0.25">
      <c r="A10" s="371" t="s">
        <v>78</v>
      </c>
      <c r="B10" s="372"/>
      <c r="C10" s="15">
        <v>1</v>
      </c>
      <c r="D10" s="15">
        <v>8</v>
      </c>
      <c r="E10" s="15">
        <v>16</v>
      </c>
      <c r="F10" s="15">
        <v>1</v>
      </c>
      <c r="G10" s="15">
        <v>8</v>
      </c>
      <c r="H10" s="15">
        <v>16</v>
      </c>
      <c r="I10" s="169" t="s">
        <v>10</v>
      </c>
      <c r="J10" s="169" t="s">
        <v>10</v>
      </c>
      <c r="K10" s="188" t="s">
        <v>10</v>
      </c>
      <c r="L10" s="2"/>
      <c r="M10" s="2"/>
      <c r="N10" s="2"/>
      <c r="O10" s="2"/>
      <c r="P10" s="2"/>
      <c r="Q10" s="2"/>
      <c r="S10" s="274" t="s">
        <v>375</v>
      </c>
      <c r="T10" s="275">
        <f t="shared" ref="T10:Y10" si="2">T8/SUM(T8:T9)</f>
        <v>7.7533078571270795E-3</v>
      </c>
      <c r="U10" s="275">
        <f t="shared" si="2"/>
        <v>0.5</v>
      </c>
      <c r="V10" s="275">
        <f t="shared" si="2"/>
        <v>0.5</v>
      </c>
      <c r="W10" s="275">
        <f t="shared" si="2"/>
        <v>0.5</v>
      </c>
      <c r="X10" s="275">
        <f t="shared" si="2"/>
        <v>0.5</v>
      </c>
      <c r="Y10" s="275">
        <f t="shared" si="2"/>
        <v>0.5</v>
      </c>
    </row>
    <row r="11" spans="1:25" x14ac:dyDescent="0.25">
      <c r="A11" s="483" t="s">
        <v>79</v>
      </c>
      <c r="B11" s="484"/>
      <c r="C11" s="181">
        <v>702</v>
      </c>
      <c r="D11" s="181">
        <v>250000</v>
      </c>
      <c r="E11" s="181">
        <v>525600</v>
      </c>
      <c r="F11" s="181">
        <v>525600</v>
      </c>
      <c r="G11" s="181">
        <v>750000</v>
      </c>
      <c r="H11" s="181">
        <v>1000000</v>
      </c>
      <c r="I11" s="169" t="s">
        <v>10</v>
      </c>
      <c r="J11" s="169" t="s">
        <v>10</v>
      </c>
      <c r="K11" s="188" t="s">
        <v>10</v>
      </c>
      <c r="L11" s="2"/>
      <c r="M11" s="2"/>
      <c r="N11" s="2"/>
      <c r="O11" s="2"/>
      <c r="P11" s="2"/>
      <c r="Q11" s="2"/>
      <c r="S11" s="274" t="s">
        <v>376</v>
      </c>
      <c r="T11" s="275">
        <f t="shared" ref="T11:Y11" si="3">T9/SUM(T8:T9)</f>
        <v>0.99224669214287287</v>
      </c>
      <c r="U11" s="275">
        <f t="shared" si="3"/>
        <v>0.5</v>
      </c>
      <c r="V11" s="275">
        <f t="shared" si="3"/>
        <v>0.5</v>
      </c>
      <c r="W11" s="275">
        <f t="shared" si="3"/>
        <v>0.5</v>
      </c>
      <c r="X11" s="275">
        <f t="shared" si="3"/>
        <v>0.5</v>
      </c>
      <c r="Y11" s="275">
        <f t="shared" si="3"/>
        <v>0.5</v>
      </c>
    </row>
    <row r="12" spans="1:25" x14ac:dyDescent="0.25">
      <c r="A12" s="483" t="s">
        <v>321</v>
      </c>
      <c r="B12" s="484"/>
      <c r="C12" s="181">
        <f>C11/SUM(C7:C9)</f>
        <v>9.486486486486486</v>
      </c>
      <c r="D12" s="181">
        <f>D11/SUM(D7:D9)</f>
        <v>2976.1904761904761</v>
      </c>
      <c r="E12" s="181">
        <f>E11/SUM(E7:E9)</f>
        <v>5591.489361702128</v>
      </c>
      <c r="F12" s="181">
        <f>F11/(SUM(F7:F9))</f>
        <v>4454.2372881355932</v>
      </c>
      <c r="G12" s="181">
        <f>G11/(SUM(G7:G9))</f>
        <v>4518.0722891566265</v>
      </c>
      <c r="H12" s="181">
        <f>H11/(SUM(H7:H9))</f>
        <v>4651.1627906976746</v>
      </c>
      <c r="I12" s="169" t="s">
        <v>10</v>
      </c>
      <c r="J12" s="169" t="s">
        <v>10</v>
      </c>
      <c r="K12" s="188" t="s">
        <v>10</v>
      </c>
      <c r="L12" s="2"/>
      <c r="M12" s="2"/>
      <c r="N12" s="2"/>
      <c r="O12" s="2"/>
      <c r="P12" s="2"/>
      <c r="Q12" s="2"/>
    </row>
    <row r="13" spans="1:25" ht="14.4" thickBot="1" x14ac:dyDescent="0.3">
      <c r="A13" s="485" t="s">
        <v>322</v>
      </c>
      <c r="B13" s="486"/>
      <c r="C13" s="140">
        <f t="shared" ref="C13:H13" si="4">C11/(SUM(C7:C9)*C10)</f>
        <v>9.486486486486486</v>
      </c>
      <c r="D13" s="140">
        <f t="shared" si="4"/>
        <v>372.02380952380952</v>
      </c>
      <c r="E13" s="140">
        <f t="shared" si="4"/>
        <v>349.468085106383</v>
      </c>
      <c r="F13" s="140">
        <f t="shared" si="4"/>
        <v>4454.2372881355932</v>
      </c>
      <c r="G13" s="140">
        <f t="shared" si="4"/>
        <v>564.75903614457832</v>
      </c>
      <c r="H13" s="140">
        <f t="shared" si="4"/>
        <v>290.69767441860466</v>
      </c>
      <c r="I13" s="189" t="s">
        <v>10</v>
      </c>
      <c r="J13" s="189" t="s">
        <v>10</v>
      </c>
      <c r="K13" s="190" t="s">
        <v>10</v>
      </c>
      <c r="L13" s="2"/>
      <c r="M13" s="2"/>
      <c r="N13" s="2"/>
      <c r="O13" s="2"/>
      <c r="P13" s="2"/>
      <c r="Q13" s="2"/>
    </row>
    <row r="14" spans="1:25" x14ac:dyDescent="0.25">
      <c r="A14" s="179"/>
      <c r="B14" s="179"/>
      <c r="C14" s="180"/>
      <c r="D14" s="180"/>
      <c r="E14" s="180"/>
      <c r="F14" s="180"/>
      <c r="G14" s="180"/>
      <c r="H14" s="180"/>
      <c r="I14" s="180"/>
      <c r="J14" s="180"/>
      <c r="K14" s="180"/>
      <c r="L14" s="2"/>
      <c r="M14" s="2"/>
      <c r="N14" s="2"/>
      <c r="O14" s="2"/>
      <c r="P14" s="2"/>
      <c r="Q14" s="2"/>
    </row>
    <row r="15" spans="1:25" x14ac:dyDescent="0.25">
      <c r="B15" s="177"/>
      <c r="C15" s="174"/>
      <c r="D15" s="174"/>
      <c r="E15" s="174"/>
      <c r="F15" s="174"/>
      <c r="G15" s="174"/>
      <c r="H15" s="174"/>
      <c r="I15" s="178"/>
      <c r="M15" s="193"/>
      <c r="N15" s="2"/>
      <c r="O15" s="2"/>
      <c r="P15" s="2"/>
      <c r="Q15" s="2"/>
    </row>
    <row r="16" spans="1:25" ht="16.2" thickBot="1" x14ac:dyDescent="0.35">
      <c r="A16" s="195" t="s">
        <v>328</v>
      </c>
      <c r="N16" s="2"/>
      <c r="O16" s="2"/>
      <c r="P16" s="2"/>
      <c r="Q16" s="2"/>
      <c r="T16" s="2"/>
      <c r="U16" s="2"/>
      <c r="V16" s="2"/>
      <c r="W16" s="2"/>
    </row>
    <row r="17" spans="1:23" x14ac:dyDescent="0.25">
      <c r="A17" s="368" t="s">
        <v>91</v>
      </c>
      <c r="B17" s="473" t="s">
        <v>93</v>
      </c>
      <c r="C17" s="473"/>
      <c r="D17" s="473"/>
      <c r="E17" s="473"/>
      <c r="F17" s="473"/>
      <c r="G17" s="470" t="s">
        <v>323</v>
      </c>
      <c r="H17" s="470"/>
      <c r="I17" s="470"/>
      <c r="J17" s="470" t="s">
        <v>324</v>
      </c>
      <c r="K17" s="470"/>
      <c r="L17" s="470"/>
      <c r="M17" s="2"/>
      <c r="N17" s="2"/>
      <c r="O17" s="2"/>
      <c r="P17" s="2"/>
      <c r="Q17" s="2"/>
      <c r="T17" s="2"/>
      <c r="U17" s="2"/>
      <c r="V17" s="2"/>
      <c r="W17" s="2"/>
    </row>
    <row r="18" spans="1:23" x14ac:dyDescent="0.25">
      <c r="A18" s="369" t="str">
        <f>Current!I1</f>
        <v>Use Case</v>
      </c>
      <c r="B18" s="370" t="str">
        <f>Current!J1</f>
        <v>Count</v>
      </c>
      <c r="C18" s="370" t="e">
        <f>Current!#REF!</f>
        <v>#REF!</v>
      </c>
      <c r="D18" s="370"/>
      <c r="E18" s="370"/>
      <c r="F18" s="370"/>
      <c r="G18" s="370" t="s">
        <v>7</v>
      </c>
      <c r="H18" s="370" t="s">
        <v>76</v>
      </c>
      <c r="I18" s="370" t="s">
        <v>6</v>
      </c>
      <c r="J18" s="370" t="s">
        <v>7</v>
      </c>
      <c r="K18" s="370" t="s">
        <v>76</v>
      </c>
      <c r="L18" s="370" t="s">
        <v>6</v>
      </c>
      <c r="M18" s="2"/>
      <c r="N18" s="2"/>
      <c r="O18" s="2"/>
      <c r="P18" s="2"/>
      <c r="Q18" s="2"/>
      <c r="R18" s="2"/>
      <c r="S18" s="106"/>
      <c r="T18" s="2"/>
      <c r="U18" s="2"/>
      <c r="V18" s="2"/>
      <c r="W18" s="2"/>
    </row>
    <row r="19" spans="1:23" x14ac:dyDescent="0.25">
      <c r="A19" s="369" t="str">
        <f>Current!I2</f>
        <v>Human Space Flight</v>
      </c>
      <c r="B19" s="157">
        <f>Current!J2</f>
        <v>2</v>
      </c>
      <c r="C19" s="139">
        <f t="shared" ref="C19:C25" si="5">B19/$B$26</f>
        <v>4.0816326530612242E-2</v>
      </c>
      <c r="D19" s="237" t="s">
        <v>10</v>
      </c>
      <c r="E19" s="237" t="s">
        <v>10</v>
      </c>
      <c r="F19" s="237" t="s">
        <v>10</v>
      </c>
      <c r="G19" s="237" t="s">
        <v>10</v>
      </c>
      <c r="H19" s="182">
        <f>INDEX(Current!L2:L9,MATCH($A19,Current!I2:I9,0))*$U$10</f>
        <v>558.56666666666649</v>
      </c>
      <c r="I19" s="237" t="s">
        <v>10</v>
      </c>
      <c r="J19" s="237" t="s">
        <v>10</v>
      </c>
      <c r="K19" s="182">
        <f t="shared" ref="K19:K25" si="6">H19*$O$6</f>
        <v>8378.4999999999982</v>
      </c>
      <c r="L19" s="237" t="s">
        <v>10</v>
      </c>
      <c r="M19" s="2"/>
      <c r="N19" s="2"/>
      <c r="O19" s="2"/>
      <c r="P19" s="2"/>
      <c r="Q19" s="2"/>
      <c r="S19" s="171"/>
    </row>
    <row r="20" spans="1:23" x14ac:dyDescent="0.25">
      <c r="A20" s="369" t="str">
        <f>Current!I3</f>
        <v>Near Earth Robotic - LEO Science</v>
      </c>
      <c r="B20" s="157">
        <f>Current!J3</f>
        <v>32</v>
      </c>
      <c r="C20" s="139">
        <f t="shared" si="5"/>
        <v>0.65306122448979587</v>
      </c>
      <c r="D20" s="237" t="s">
        <v>10</v>
      </c>
      <c r="E20" s="237" t="s">
        <v>10</v>
      </c>
      <c r="F20" s="237" t="s">
        <v>10</v>
      </c>
      <c r="G20" s="237" t="s">
        <v>10</v>
      </c>
      <c r="H20" s="182">
        <f>INDEX(Current!L3:L10,MATCH($A20,Current!I3:I10,0))*$U$10</f>
        <v>326786.81666666665</v>
      </c>
      <c r="I20" s="237" t="s">
        <v>10</v>
      </c>
      <c r="J20" s="237" t="s">
        <v>10</v>
      </c>
      <c r="K20" s="182">
        <f t="shared" si="6"/>
        <v>4901802.25</v>
      </c>
      <c r="L20" s="237" t="s">
        <v>10</v>
      </c>
      <c r="M20" s="2"/>
      <c r="N20" s="2"/>
      <c r="O20" s="2"/>
      <c r="S20" s="171"/>
    </row>
    <row r="21" spans="1:23" x14ac:dyDescent="0.25">
      <c r="A21" s="369" t="str">
        <f>Current!I4</f>
        <v>Near Earth Robotic - GEO and Near Earth</v>
      </c>
      <c r="B21" s="157">
        <f>Current!J4</f>
        <v>15</v>
      </c>
      <c r="C21" s="139">
        <f t="shared" si="5"/>
        <v>0.30612244897959184</v>
      </c>
      <c r="D21" s="237" t="s">
        <v>10</v>
      </c>
      <c r="E21" s="237" t="s">
        <v>10</v>
      </c>
      <c r="F21" s="237" t="s">
        <v>10</v>
      </c>
      <c r="G21" s="237" t="s">
        <v>10</v>
      </c>
      <c r="H21" s="182">
        <f>INDEX(Current!L4:L11,MATCH($A21,Current!I4:I11,0))*$U$10</f>
        <v>72904.583333333343</v>
      </c>
      <c r="I21" s="237" t="s">
        <v>10</v>
      </c>
      <c r="J21" s="237" t="s">
        <v>10</v>
      </c>
      <c r="K21" s="182">
        <f t="shared" si="6"/>
        <v>1093568.7500000002</v>
      </c>
      <c r="L21" s="237" t="s">
        <v>10</v>
      </c>
      <c r="M21" s="2"/>
      <c r="N21" s="2"/>
      <c r="O21" s="2"/>
      <c r="S21" s="171"/>
    </row>
    <row r="22" spans="1:23" x14ac:dyDescent="0.25">
      <c r="A22" s="369" t="str">
        <f>Current!I5</f>
        <v>Deep Space Robotic</v>
      </c>
      <c r="B22" s="157">
        <f>Current!J5</f>
        <v>0</v>
      </c>
      <c r="C22" s="139">
        <f t="shared" si="5"/>
        <v>0</v>
      </c>
      <c r="D22" s="237" t="s">
        <v>10</v>
      </c>
      <c r="E22" s="237" t="s">
        <v>10</v>
      </c>
      <c r="F22" s="237" t="s">
        <v>10</v>
      </c>
      <c r="G22" s="237" t="s">
        <v>10</v>
      </c>
      <c r="H22" s="182">
        <f>INDEX(Current!L5:L13,MATCH($A22,Current!I5:I12,0))*$U$10</f>
        <v>0</v>
      </c>
      <c r="I22" s="237" t="s">
        <v>10</v>
      </c>
      <c r="J22" s="237" t="s">
        <v>10</v>
      </c>
      <c r="K22" s="182">
        <f t="shared" si="6"/>
        <v>0</v>
      </c>
      <c r="L22" s="237" t="s">
        <v>10</v>
      </c>
      <c r="M22" s="2"/>
      <c r="N22" s="2"/>
      <c r="O22" s="2"/>
      <c r="S22" s="171"/>
    </row>
    <row r="23" spans="1:23" x14ac:dyDescent="0.25">
      <c r="A23" s="369" t="str">
        <f>Current!I6</f>
        <v>Near Earth Robotic - Low Latency &amp; Complex Needs</v>
      </c>
      <c r="B23" s="157">
        <f>Current!J6</f>
        <v>0</v>
      </c>
      <c r="C23" s="139">
        <f t="shared" si="5"/>
        <v>0</v>
      </c>
      <c r="D23" s="237" t="s">
        <v>10</v>
      </c>
      <c r="E23" s="237" t="s">
        <v>10</v>
      </c>
      <c r="F23" s="237" t="s">
        <v>10</v>
      </c>
      <c r="G23" s="237" t="s">
        <v>10</v>
      </c>
      <c r="H23" s="182">
        <f>INDEX(Current!L6:L13,MATCH($A23,Current!I6:I13,0))*$U$10</f>
        <v>0</v>
      </c>
      <c r="I23" s="237" t="s">
        <v>10</v>
      </c>
      <c r="J23" s="237" t="s">
        <v>10</v>
      </c>
      <c r="K23" s="182">
        <f t="shared" si="6"/>
        <v>0</v>
      </c>
      <c r="L23" s="237" t="s">
        <v>10</v>
      </c>
      <c r="M23" s="2"/>
      <c r="N23" s="2"/>
      <c r="O23" s="2"/>
      <c r="S23" s="171"/>
    </row>
    <row r="24" spans="1:23" x14ac:dyDescent="0.25">
      <c r="A24" s="245" t="str">
        <f>Current!I7</f>
        <v>Mission Operations</v>
      </c>
      <c r="B24" s="242">
        <f>Current!J7</f>
        <v>0</v>
      </c>
      <c r="C24" s="239">
        <f t="shared" si="5"/>
        <v>0</v>
      </c>
      <c r="D24" s="241" t="s">
        <v>10</v>
      </c>
      <c r="E24" s="241" t="s">
        <v>10</v>
      </c>
      <c r="F24" s="241" t="s">
        <v>10</v>
      </c>
      <c r="G24" s="241" t="s">
        <v>10</v>
      </c>
      <c r="H24" s="182">
        <f>INDEX(Current!L7:L14,MATCH($A24,Current!I7:I14,0))*$U$10</f>
        <v>0</v>
      </c>
      <c r="I24" s="241" t="s">
        <v>10</v>
      </c>
      <c r="J24" s="241" t="s">
        <v>10</v>
      </c>
      <c r="K24" s="182">
        <f t="shared" si="6"/>
        <v>0</v>
      </c>
      <c r="L24" s="241" t="s">
        <v>10</v>
      </c>
      <c r="M24" s="2"/>
      <c r="N24" s="2"/>
      <c r="O24" s="2"/>
      <c r="S24" s="171"/>
    </row>
    <row r="25" spans="1:23" x14ac:dyDescent="0.25">
      <c r="A25" s="369" t="str">
        <f>Current!I9</f>
        <v>Terrestrial &amp; Aerial</v>
      </c>
      <c r="B25" s="157">
        <f>Current!J9</f>
        <v>0</v>
      </c>
      <c r="C25" s="139">
        <f t="shared" si="5"/>
        <v>0</v>
      </c>
      <c r="D25" s="237" t="s">
        <v>10</v>
      </c>
      <c r="E25" s="237" t="s">
        <v>10</v>
      </c>
      <c r="F25" s="237" t="s">
        <v>10</v>
      </c>
      <c r="G25" s="237" t="s">
        <v>10</v>
      </c>
      <c r="H25" s="182">
        <f>INDEX(Current!L8:L15,MATCH($A25,Current!I8:I15,0))*$U$10</f>
        <v>0</v>
      </c>
      <c r="I25" s="237" t="s">
        <v>10</v>
      </c>
      <c r="J25" s="237" t="s">
        <v>10</v>
      </c>
      <c r="K25" s="182">
        <f t="shared" si="6"/>
        <v>0</v>
      </c>
      <c r="L25" s="237" t="s">
        <v>10</v>
      </c>
      <c r="M25" s="2"/>
      <c r="N25" s="2"/>
      <c r="O25" s="2"/>
    </row>
    <row r="26" spans="1:23" ht="14.4" customHeight="1" thickBot="1" x14ac:dyDescent="0.3">
      <c r="A26" s="383" t="s">
        <v>319</v>
      </c>
      <c r="B26" s="155">
        <f>SUM(B19:B24,B25)</f>
        <v>49</v>
      </c>
      <c r="C26" s="456">
        <f t="shared" ref="C26:L26" si="7">SUM(C19:C25)</f>
        <v>1</v>
      </c>
      <c r="D26" s="167"/>
      <c r="E26" s="167"/>
      <c r="F26" s="167"/>
      <c r="G26" s="167">
        <f t="shared" si="7"/>
        <v>0</v>
      </c>
      <c r="H26" s="167">
        <f t="shared" si="7"/>
        <v>400249.96666666667</v>
      </c>
      <c r="I26" s="167">
        <f t="shared" si="7"/>
        <v>0</v>
      </c>
      <c r="J26" s="167">
        <f t="shared" si="7"/>
        <v>0</v>
      </c>
      <c r="K26" s="167">
        <f>SUM(K19:K25)</f>
        <v>6003749.5</v>
      </c>
      <c r="L26" s="167">
        <f t="shared" si="7"/>
        <v>0</v>
      </c>
      <c r="M26" s="2"/>
      <c r="N26" s="2"/>
      <c r="O26" s="2"/>
    </row>
    <row r="28" spans="1:23" ht="14.4" customHeight="1" thickBot="1" x14ac:dyDescent="0.35">
      <c r="A28" s="195" t="s">
        <v>329</v>
      </c>
    </row>
    <row r="29" spans="1:23" x14ac:dyDescent="0.25">
      <c r="A29" s="368" t="s">
        <v>91</v>
      </c>
      <c r="B29" s="473" t="s">
        <v>313</v>
      </c>
      <c r="C29" s="473"/>
      <c r="D29" s="473"/>
      <c r="E29" s="473"/>
      <c r="F29" s="473"/>
      <c r="G29" s="470" t="s">
        <v>323</v>
      </c>
      <c r="H29" s="470"/>
      <c r="I29" s="470"/>
      <c r="J29" s="470" t="s">
        <v>325</v>
      </c>
      <c r="K29" s="470"/>
      <c r="L29" s="470"/>
      <c r="M29" s="2"/>
      <c r="N29" s="2"/>
      <c r="O29" s="2"/>
    </row>
    <row r="30" spans="1:23" x14ac:dyDescent="0.25">
      <c r="A30" s="160" t="str">
        <f>Current!V1</f>
        <v>Use Case</v>
      </c>
      <c r="B30" s="370" t="str">
        <f>Current!W1</f>
        <v>Count</v>
      </c>
      <c r="C30" s="370" t="str">
        <f>Current!X1</f>
        <v>Share</v>
      </c>
      <c r="D30" s="370" t="s">
        <v>7</v>
      </c>
      <c r="E30" s="370" t="s">
        <v>76</v>
      </c>
      <c r="F30" s="370" t="s">
        <v>6</v>
      </c>
      <c r="G30" s="370" t="s">
        <v>7</v>
      </c>
      <c r="H30" s="370" t="s">
        <v>76</v>
      </c>
      <c r="I30" s="370" t="s">
        <v>6</v>
      </c>
      <c r="J30" s="370" t="s">
        <v>7</v>
      </c>
      <c r="K30" s="370" t="s">
        <v>76</v>
      </c>
      <c r="L30" s="370" t="s">
        <v>6</v>
      </c>
      <c r="M30" s="2"/>
      <c r="N30" s="2"/>
      <c r="O30" s="2"/>
    </row>
    <row r="31" spans="1:23" x14ac:dyDescent="0.25">
      <c r="A31" s="160" t="str">
        <f>Current!V2</f>
        <v>Human Space Flight</v>
      </c>
      <c r="B31" s="157">
        <f>Current!W2</f>
        <v>16</v>
      </c>
      <c r="C31" s="139">
        <f t="shared" ref="C31:C37" si="8">B31/$B$38</f>
        <v>0.25396825396825395</v>
      </c>
      <c r="D31" s="237" t="s">
        <v>10</v>
      </c>
      <c r="E31" s="237" t="s">
        <v>10</v>
      </c>
      <c r="F31" s="237" t="s">
        <v>10</v>
      </c>
      <c r="G31" s="237" t="s">
        <v>10</v>
      </c>
      <c r="H31" s="182">
        <f>INDEX(Current!Y2:Y9,MATCH($A31,Current!V2:V9,0))*$U$10</f>
        <v>1256581.5</v>
      </c>
      <c r="I31" s="237" t="s">
        <v>10</v>
      </c>
      <c r="J31" s="237" t="s">
        <v>10</v>
      </c>
      <c r="K31" s="182">
        <f t="shared" ref="K31:K37" si="9">H31*$O$7</f>
        <v>50263260</v>
      </c>
      <c r="L31" s="237" t="s">
        <v>10</v>
      </c>
      <c r="M31" s="2"/>
      <c r="N31" s="2"/>
      <c r="O31" s="2"/>
    </row>
    <row r="32" spans="1:23" x14ac:dyDescent="0.25">
      <c r="A32" s="160" t="str">
        <f>Current!V3</f>
        <v>Near Earth Robotic - LEO Science</v>
      </c>
      <c r="B32" s="157">
        <f>Current!W3</f>
        <v>25</v>
      </c>
      <c r="C32" s="139">
        <f t="shared" si="8"/>
        <v>0.3968253968253968</v>
      </c>
      <c r="D32" s="237" t="s">
        <v>10</v>
      </c>
      <c r="E32" s="237" t="s">
        <v>10</v>
      </c>
      <c r="F32" s="237" t="s">
        <v>10</v>
      </c>
      <c r="G32" s="237" t="s">
        <v>10</v>
      </c>
      <c r="H32" s="182">
        <f>INDEX(Current!Y3:Y10,MATCH($A32,Current!V3:V10,0))*$U$10</f>
        <v>2189530.5</v>
      </c>
      <c r="I32" s="237" t="s">
        <v>10</v>
      </c>
      <c r="J32" s="237" t="s">
        <v>10</v>
      </c>
      <c r="K32" s="182">
        <f t="shared" si="9"/>
        <v>87581220</v>
      </c>
      <c r="L32" s="237" t="s">
        <v>10</v>
      </c>
      <c r="M32" s="2"/>
      <c r="N32" s="2"/>
      <c r="O32" s="2"/>
    </row>
    <row r="33" spans="1:19" x14ac:dyDescent="0.25">
      <c r="A33" s="160" t="str">
        <f>Current!V4</f>
        <v>Near Earth Robotic - GEO and Near Earth</v>
      </c>
      <c r="B33" s="157">
        <f>Current!W4</f>
        <v>4</v>
      </c>
      <c r="C33" s="139">
        <f t="shared" si="8"/>
        <v>6.3492063492063489E-2</v>
      </c>
      <c r="D33" s="237" t="s">
        <v>10</v>
      </c>
      <c r="E33" s="237" t="s">
        <v>10</v>
      </c>
      <c r="F33" s="237" t="s">
        <v>10</v>
      </c>
      <c r="G33" s="237" t="s">
        <v>10</v>
      </c>
      <c r="H33" s="182">
        <f>INDEX(Current!Y4:Y11,MATCH($A33,Current!V4:V11,0))*$U$10</f>
        <v>218.5</v>
      </c>
      <c r="I33" s="237" t="s">
        <v>10</v>
      </c>
      <c r="J33" s="237" t="s">
        <v>10</v>
      </c>
      <c r="K33" s="182">
        <f t="shared" si="9"/>
        <v>8740</v>
      </c>
      <c r="L33" s="237" t="s">
        <v>10</v>
      </c>
      <c r="M33" s="2"/>
      <c r="N33" s="2"/>
      <c r="O33" s="2"/>
    </row>
    <row r="34" spans="1:19" x14ac:dyDescent="0.25">
      <c r="A34" s="160" t="str">
        <f>Current!V5</f>
        <v>Deep Space Robotic</v>
      </c>
      <c r="B34" s="157">
        <f>Current!W5</f>
        <v>1</v>
      </c>
      <c r="C34" s="139">
        <f t="shared" si="8"/>
        <v>1.5873015873015872E-2</v>
      </c>
      <c r="D34" s="237" t="s">
        <v>10</v>
      </c>
      <c r="E34" s="237" t="s">
        <v>10</v>
      </c>
      <c r="F34" s="237" t="s">
        <v>10</v>
      </c>
      <c r="G34" s="237" t="s">
        <v>10</v>
      </c>
      <c r="H34" s="182">
        <f>INDEX(Current!Y5:Y12,MATCH($A34,Current!V5:V12,0))*$U$10</f>
        <v>286</v>
      </c>
      <c r="I34" s="237" t="s">
        <v>10</v>
      </c>
      <c r="J34" s="237" t="s">
        <v>10</v>
      </c>
      <c r="K34" s="182">
        <f t="shared" si="9"/>
        <v>11440</v>
      </c>
      <c r="L34" s="237" t="s">
        <v>10</v>
      </c>
      <c r="M34" s="2"/>
      <c r="N34" s="2"/>
      <c r="O34" s="2"/>
    </row>
    <row r="35" spans="1:19" x14ac:dyDescent="0.25">
      <c r="A35" s="160" t="str">
        <f>Current!V6</f>
        <v>Near Earth Robotic - Low Latency &amp; Complex Needs</v>
      </c>
      <c r="B35" s="157">
        <f>Current!W6</f>
        <v>2</v>
      </c>
      <c r="C35" s="139">
        <f t="shared" si="8"/>
        <v>3.1746031746031744E-2</v>
      </c>
      <c r="D35" s="237" t="s">
        <v>10</v>
      </c>
      <c r="E35" s="237" t="s">
        <v>10</v>
      </c>
      <c r="F35" s="237" t="s">
        <v>10</v>
      </c>
      <c r="G35" s="237" t="s">
        <v>10</v>
      </c>
      <c r="H35" s="182">
        <f>INDEX(Current!Y6:Y13,MATCH($A35,Current!V6:V13,0))*$U$10</f>
        <v>4094</v>
      </c>
      <c r="I35" s="237" t="s">
        <v>10</v>
      </c>
      <c r="J35" s="237" t="s">
        <v>10</v>
      </c>
      <c r="K35" s="182">
        <f t="shared" si="9"/>
        <v>163760</v>
      </c>
      <c r="L35" s="237" t="s">
        <v>10</v>
      </c>
      <c r="M35" s="2"/>
      <c r="N35" s="2"/>
      <c r="O35" s="2"/>
    </row>
    <row r="36" spans="1:19" x14ac:dyDescent="0.25">
      <c r="A36" s="240" t="str">
        <f>Current!V7</f>
        <v>Mission Operations</v>
      </c>
      <c r="B36" s="242">
        <f>Current!W7</f>
        <v>0</v>
      </c>
      <c r="C36" s="239">
        <f t="shared" si="8"/>
        <v>0</v>
      </c>
      <c r="D36" s="241" t="s">
        <v>10</v>
      </c>
      <c r="E36" s="241" t="s">
        <v>10</v>
      </c>
      <c r="F36" s="241" t="s">
        <v>10</v>
      </c>
      <c r="G36" s="241" t="s">
        <v>10</v>
      </c>
      <c r="H36" s="182">
        <f>INDEX(Current!Y7:Y14,MATCH($A36,Current!V7:V14,0))*$U$10</f>
        <v>0</v>
      </c>
      <c r="I36" s="241" t="s">
        <v>10</v>
      </c>
      <c r="J36" s="241" t="s">
        <v>10</v>
      </c>
      <c r="K36" s="182">
        <f t="shared" si="9"/>
        <v>0</v>
      </c>
      <c r="L36" s="241" t="s">
        <v>10</v>
      </c>
      <c r="M36" s="2"/>
      <c r="N36" s="2"/>
      <c r="O36" s="2"/>
    </row>
    <row r="37" spans="1:19" x14ac:dyDescent="0.25">
      <c r="A37" s="160" t="str">
        <f>Current!V9</f>
        <v>Terrestrial &amp; Aerial</v>
      </c>
      <c r="B37" s="157">
        <f>Current!W9</f>
        <v>15</v>
      </c>
      <c r="C37" s="139">
        <f t="shared" si="8"/>
        <v>0.23809523809523808</v>
      </c>
      <c r="D37" s="237" t="s">
        <v>10</v>
      </c>
      <c r="E37" s="237" t="s">
        <v>10</v>
      </c>
      <c r="F37" s="237" t="s">
        <v>10</v>
      </c>
      <c r="G37" s="237" t="s">
        <v>10</v>
      </c>
      <c r="H37" s="182">
        <f>INDEX(Current!Y8:Y15,MATCH($A37,Current!V8:V15,0))*$U$10</f>
        <v>36222.5</v>
      </c>
      <c r="I37" s="237" t="s">
        <v>10</v>
      </c>
      <c r="J37" s="237" t="s">
        <v>10</v>
      </c>
      <c r="K37" s="182">
        <f t="shared" si="9"/>
        <v>1448900</v>
      </c>
      <c r="L37" s="237" t="s">
        <v>10</v>
      </c>
      <c r="M37" s="2"/>
      <c r="N37" s="2"/>
      <c r="O37" s="2"/>
    </row>
    <row r="38" spans="1:19" ht="15.6" thickBot="1" x14ac:dyDescent="0.3">
      <c r="A38" s="159" t="s">
        <v>319</v>
      </c>
      <c r="B38" s="155">
        <f>SUM(B31:B36,B37)</f>
        <v>63</v>
      </c>
      <c r="C38" s="456">
        <f t="shared" ref="C38:I38" si="10">SUM(C31:C37)</f>
        <v>0.99999999999999978</v>
      </c>
      <c r="D38" s="167">
        <f t="shared" si="10"/>
        <v>0</v>
      </c>
      <c r="E38" s="167">
        <f t="shared" si="10"/>
        <v>0</v>
      </c>
      <c r="F38" s="167">
        <f t="shared" si="10"/>
        <v>0</v>
      </c>
      <c r="G38" s="167">
        <f t="shared" si="10"/>
        <v>0</v>
      </c>
      <c r="H38" s="167">
        <f t="shared" si="10"/>
        <v>3486933</v>
      </c>
      <c r="I38" s="167">
        <f t="shared" si="10"/>
        <v>0</v>
      </c>
      <c r="J38" s="167">
        <f>SUM(J31:J37)</f>
        <v>0</v>
      </c>
      <c r="K38" s="167">
        <f>SUM(K31:K37)</f>
        <v>139477320</v>
      </c>
      <c r="L38" s="167">
        <f>SUM(L31:L37)</f>
        <v>0</v>
      </c>
      <c r="M38" s="2"/>
      <c r="N38" s="2"/>
      <c r="O38" s="2"/>
    </row>
    <row r="39" spans="1:19" x14ac:dyDescent="0.25">
      <c r="J39" s="174"/>
    </row>
    <row r="40" spans="1:19" ht="16.2" thickBot="1" x14ac:dyDescent="0.35">
      <c r="A40" s="195" t="s">
        <v>330</v>
      </c>
    </row>
    <row r="41" spans="1:19" x14ac:dyDescent="0.25">
      <c r="A41" s="368" t="s">
        <v>91</v>
      </c>
      <c r="B41" s="473" t="s">
        <v>320</v>
      </c>
      <c r="C41" s="473"/>
      <c r="D41" s="473"/>
      <c r="E41" s="473"/>
      <c r="F41" s="473"/>
      <c r="G41" s="470" t="s">
        <v>323</v>
      </c>
      <c r="H41" s="470"/>
      <c r="I41" s="470"/>
      <c r="J41" s="470" t="s">
        <v>325</v>
      </c>
      <c r="K41" s="470"/>
      <c r="L41" s="470"/>
      <c r="M41" s="2"/>
      <c r="N41" s="2"/>
      <c r="O41" s="2"/>
    </row>
    <row r="42" spans="1:19" ht="15" customHeight="1" x14ac:dyDescent="0.25">
      <c r="A42" s="369" t="s">
        <v>82</v>
      </c>
      <c r="B42" s="370" t="s">
        <v>83</v>
      </c>
      <c r="C42" s="370" t="s">
        <v>92</v>
      </c>
      <c r="D42" s="370" t="s">
        <v>7</v>
      </c>
      <c r="E42" s="370" t="s">
        <v>76</v>
      </c>
      <c r="F42" s="370" t="s">
        <v>6</v>
      </c>
      <c r="G42" s="370" t="s">
        <v>7</v>
      </c>
      <c r="H42" s="370" t="s">
        <v>76</v>
      </c>
      <c r="I42" s="370" t="s">
        <v>6</v>
      </c>
      <c r="J42" s="370" t="s">
        <v>7</v>
      </c>
      <c r="K42" s="370" t="s">
        <v>76</v>
      </c>
      <c r="L42" s="370" t="s">
        <v>6</v>
      </c>
      <c r="M42" s="2"/>
      <c r="N42" s="2"/>
      <c r="O42" s="2"/>
    </row>
    <row r="43" spans="1:19" x14ac:dyDescent="0.25">
      <c r="A43" s="160" t="s">
        <v>314</v>
      </c>
      <c r="B43" s="157">
        <f>Current!J8</f>
        <v>0</v>
      </c>
      <c r="C43" s="139">
        <f>B43/$B$45</f>
        <v>0</v>
      </c>
      <c r="D43" s="162"/>
      <c r="E43" s="162"/>
      <c r="F43" s="162"/>
      <c r="G43" s="182">
        <f>D43*$F$12</f>
        <v>0</v>
      </c>
      <c r="H43" s="182">
        <f>Current!Y7*U9</f>
        <v>0</v>
      </c>
      <c r="I43" s="182">
        <f>F43*$H$12</f>
        <v>0</v>
      </c>
      <c r="J43" s="182">
        <f t="shared" ref="J43:L44" si="11">G43*$P$6</f>
        <v>0</v>
      </c>
      <c r="K43" s="182">
        <f>H43*$O$6</f>
        <v>0</v>
      </c>
      <c r="L43" s="182">
        <f t="shared" si="11"/>
        <v>0</v>
      </c>
      <c r="M43" s="2"/>
      <c r="N43" s="2"/>
      <c r="O43" s="2"/>
    </row>
    <row r="44" spans="1:19" x14ac:dyDescent="0.25">
      <c r="A44" s="160" t="s">
        <v>315</v>
      </c>
      <c r="B44" s="163">
        <f>Current!W8</f>
        <v>2</v>
      </c>
      <c r="C44" s="139">
        <f>B44/$B$45</f>
        <v>1</v>
      </c>
      <c r="D44" s="162"/>
      <c r="E44" s="162"/>
      <c r="F44" s="162"/>
      <c r="G44" s="182">
        <f>D44*$F$12</f>
        <v>0</v>
      </c>
      <c r="H44" s="182">
        <f>Current!Y8*U10</f>
        <v>1672</v>
      </c>
      <c r="I44" s="182">
        <f>F44*$H$12</f>
        <v>0</v>
      </c>
      <c r="J44" s="182">
        <f t="shared" si="11"/>
        <v>0</v>
      </c>
      <c r="K44" s="182">
        <f>H44*$O$7</f>
        <v>66880</v>
      </c>
      <c r="L44" s="182">
        <f t="shared" si="11"/>
        <v>0</v>
      </c>
      <c r="M44" s="2"/>
      <c r="N44" s="2"/>
      <c r="O44" s="2"/>
    </row>
    <row r="45" spans="1:19" ht="14.4" customHeight="1" thickBot="1" x14ac:dyDescent="0.3">
      <c r="A45" s="159" t="s">
        <v>84</v>
      </c>
      <c r="B45" s="155">
        <f>SUM(B43:B44)</f>
        <v>2</v>
      </c>
      <c r="C45" s="164">
        <f>SUM(C43:C44)</f>
        <v>1</v>
      </c>
      <c r="D45" s="165">
        <f>SUM(D43:D44)</f>
        <v>0</v>
      </c>
      <c r="E45" s="165">
        <f t="shared" ref="E45:K45" si="12">SUM(E43:E44)</f>
        <v>0</v>
      </c>
      <c r="F45" s="165">
        <f t="shared" si="12"/>
        <v>0</v>
      </c>
      <c r="G45" s="165">
        <f t="shared" si="12"/>
        <v>0</v>
      </c>
      <c r="H45" s="165">
        <f t="shared" si="12"/>
        <v>1672</v>
      </c>
      <c r="I45" s="165">
        <f t="shared" si="12"/>
        <v>0</v>
      </c>
      <c r="J45" s="165">
        <f t="shared" si="12"/>
        <v>0</v>
      </c>
      <c r="K45" s="165">
        <f t="shared" si="12"/>
        <v>66880</v>
      </c>
      <c r="L45" s="165">
        <f>SUM(L43:L44)</f>
        <v>0</v>
      </c>
      <c r="M45" s="2"/>
      <c r="N45" s="2"/>
      <c r="O45" s="2"/>
    </row>
    <row r="46" spans="1:19" x14ac:dyDescent="0.25">
      <c r="A46" s="173"/>
      <c r="B46" s="170"/>
      <c r="C46" s="171"/>
      <c r="D46" s="172"/>
      <c r="E46" s="172"/>
      <c r="F46" s="172"/>
      <c r="H46" s="244"/>
      <c r="K46" s="244"/>
      <c r="L46" s="221"/>
    </row>
    <row r="47" spans="1:19" x14ac:dyDescent="0.25">
      <c r="A47" s="173"/>
      <c r="B47" s="170"/>
      <c r="C47" s="171"/>
      <c r="D47" s="172"/>
      <c r="E47" s="172"/>
      <c r="F47" s="172"/>
    </row>
    <row r="48" spans="1:19" s="194" customFormat="1" x14ac:dyDescent="0.25">
      <c r="A48" s="276"/>
      <c r="B48" s="276"/>
      <c r="C48" s="276"/>
      <c r="D48" s="276"/>
      <c r="E48" s="276"/>
      <c r="F48" s="276"/>
      <c r="G48" s="276"/>
      <c r="H48" s="276"/>
      <c r="I48" s="276"/>
      <c r="J48" s="276"/>
      <c r="K48" s="276"/>
      <c r="L48" s="276"/>
      <c r="M48" s="276"/>
      <c r="N48" s="276"/>
      <c r="O48" s="276"/>
      <c r="S48" s="220"/>
    </row>
    <row r="49" spans="1:15" ht="16.2" thickBot="1" x14ac:dyDescent="0.35">
      <c r="A49" s="195" t="s">
        <v>331</v>
      </c>
      <c r="B49" s="252"/>
      <c r="C49" s="252"/>
      <c r="D49" s="252"/>
      <c r="E49" s="252"/>
      <c r="F49" s="252"/>
      <c r="G49" s="252"/>
      <c r="H49" s="252"/>
      <c r="I49" s="252"/>
      <c r="J49" s="252"/>
      <c r="K49" s="252"/>
      <c r="L49" s="252"/>
      <c r="M49" s="252"/>
      <c r="N49" s="252"/>
      <c r="O49" s="252"/>
    </row>
    <row r="50" spans="1:15" ht="14.4" customHeight="1" x14ac:dyDescent="0.25">
      <c r="A50" s="487" t="s">
        <v>317</v>
      </c>
      <c r="B50" s="488"/>
      <c r="C50" s="473" t="s">
        <v>72</v>
      </c>
      <c r="D50" s="473"/>
      <c r="E50" s="473"/>
      <c r="F50" s="473" t="s">
        <v>73</v>
      </c>
      <c r="G50" s="473"/>
      <c r="H50" s="473"/>
      <c r="I50" s="473" t="s">
        <v>73</v>
      </c>
      <c r="J50" s="473"/>
      <c r="K50" s="473"/>
      <c r="L50" s="467" t="s">
        <v>73</v>
      </c>
      <c r="M50" s="468"/>
      <c r="N50" s="469"/>
      <c r="O50" s="252"/>
    </row>
    <row r="51" spans="1:15" x14ac:dyDescent="0.25">
      <c r="A51" s="489"/>
      <c r="B51" s="490"/>
      <c r="C51" s="370" t="s">
        <v>7</v>
      </c>
      <c r="D51" s="370" t="s">
        <v>76</v>
      </c>
      <c r="E51" s="370" t="s">
        <v>6</v>
      </c>
      <c r="F51" s="370" t="s">
        <v>7</v>
      </c>
      <c r="G51" s="370" t="s">
        <v>76</v>
      </c>
      <c r="H51" s="370" t="s">
        <v>6</v>
      </c>
      <c r="I51" s="370" t="s">
        <v>7</v>
      </c>
      <c r="J51" s="370" t="s">
        <v>76</v>
      </c>
      <c r="K51" s="370" t="s">
        <v>6</v>
      </c>
      <c r="L51" s="370" t="s">
        <v>7</v>
      </c>
      <c r="M51" s="370" t="s">
        <v>76</v>
      </c>
      <c r="N51" s="186" t="s">
        <v>6</v>
      </c>
      <c r="O51" s="252"/>
    </row>
    <row r="52" spans="1:15" x14ac:dyDescent="0.25">
      <c r="A52" s="373" t="s">
        <v>74</v>
      </c>
      <c r="B52" s="370" t="s">
        <v>75</v>
      </c>
      <c r="C52" s="254">
        <v>20</v>
      </c>
      <c r="D52" s="254">
        <v>22</v>
      </c>
      <c r="E52" s="254">
        <v>24</v>
      </c>
      <c r="F52" s="254">
        <v>40</v>
      </c>
      <c r="G52" s="254">
        <v>58</v>
      </c>
      <c r="H52" s="254">
        <v>76</v>
      </c>
      <c r="I52" s="255">
        <f>(C52-$B$69)/$B$69</f>
        <v>-0.59183673469387754</v>
      </c>
      <c r="J52" s="255">
        <f>(D52-$B$69)/$B$69</f>
        <v>-0.55102040816326525</v>
      </c>
      <c r="K52" s="255">
        <f>(E52-$B$69)/$B$69</f>
        <v>-0.51020408163265307</v>
      </c>
      <c r="L52" s="255">
        <f t="shared" ref="L52:N53" si="13">(F52-$B$69)/$B$26</f>
        <v>-0.18367346938775511</v>
      </c>
      <c r="M52" s="255">
        <f t="shared" si="13"/>
        <v>0.18367346938775511</v>
      </c>
      <c r="N52" s="256">
        <f t="shared" si="13"/>
        <v>0.55102040816326525</v>
      </c>
      <c r="O52" s="252"/>
    </row>
    <row r="53" spans="1:15" x14ac:dyDescent="0.25">
      <c r="A53" s="373"/>
      <c r="B53" s="375" t="s">
        <v>77</v>
      </c>
      <c r="C53" s="258">
        <v>12</v>
      </c>
      <c r="D53" s="258">
        <v>14</v>
      </c>
      <c r="E53" s="258">
        <v>16</v>
      </c>
      <c r="F53" s="254">
        <v>40</v>
      </c>
      <c r="G53" s="254">
        <v>58</v>
      </c>
      <c r="H53" s="254">
        <v>76</v>
      </c>
      <c r="I53" s="255">
        <f>(C53-$B$81)/$B$81</f>
        <v>-0.80952380952380953</v>
      </c>
      <c r="J53" s="255">
        <f>(D53-$B$81)/$B$81</f>
        <v>-0.77777777777777779</v>
      </c>
      <c r="K53" s="255">
        <f>(E53-$B$81)/$B$81</f>
        <v>-0.74603174603174605</v>
      </c>
      <c r="L53" s="255">
        <f t="shared" si="13"/>
        <v>-0.18367346938775511</v>
      </c>
      <c r="M53" s="255">
        <f t="shared" si="13"/>
        <v>0.18367346938775511</v>
      </c>
      <c r="N53" s="256">
        <f t="shared" si="13"/>
        <v>0.55102040816326525</v>
      </c>
      <c r="O53" s="252"/>
    </row>
    <row r="54" spans="1:15" ht="14.4" customHeight="1" x14ac:dyDescent="0.25">
      <c r="A54" s="374" t="s">
        <v>78</v>
      </c>
      <c r="B54" s="375"/>
      <c r="C54" s="258">
        <v>1</v>
      </c>
      <c r="D54" s="258">
        <v>12</v>
      </c>
      <c r="E54" s="258">
        <v>25</v>
      </c>
      <c r="F54" s="258">
        <v>1</v>
      </c>
      <c r="G54" s="258">
        <v>12</v>
      </c>
      <c r="H54" s="258">
        <v>25</v>
      </c>
      <c r="I54" s="260" t="s">
        <v>10</v>
      </c>
      <c r="J54" s="260" t="s">
        <v>10</v>
      </c>
      <c r="K54" s="260" t="s">
        <v>10</v>
      </c>
      <c r="L54" s="260" t="s">
        <v>10</v>
      </c>
      <c r="M54" s="260" t="s">
        <v>10</v>
      </c>
      <c r="N54" s="261" t="s">
        <v>10</v>
      </c>
      <c r="O54" s="252"/>
    </row>
    <row r="55" spans="1:15" x14ac:dyDescent="0.25">
      <c r="A55" s="491" t="s">
        <v>79</v>
      </c>
      <c r="B55" s="492"/>
      <c r="C55" s="262">
        <v>89840</v>
      </c>
      <c r="D55" s="262">
        <v>250000</v>
      </c>
      <c r="E55" s="262">
        <v>525600</v>
      </c>
      <c r="F55" s="262">
        <v>525600</v>
      </c>
      <c r="G55" s="262">
        <v>750000</v>
      </c>
      <c r="H55" s="262">
        <v>1000000</v>
      </c>
      <c r="I55" s="260" t="s">
        <v>10</v>
      </c>
      <c r="J55" s="260" t="s">
        <v>10</v>
      </c>
      <c r="K55" s="260" t="s">
        <v>10</v>
      </c>
      <c r="L55" s="260" t="s">
        <v>10</v>
      </c>
      <c r="M55" s="260" t="s">
        <v>10</v>
      </c>
      <c r="N55" s="261" t="s">
        <v>10</v>
      </c>
      <c r="O55" s="252"/>
    </row>
    <row r="56" spans="1:15" x14ac:dyDescent="0.25">
      <c r="A56" s="481" t="s">
        <v>321</v>
      </c>
      <c r="B56" s="482"/>
      <c r="C56" s="263">
        <f t="shared" ref="C56:H56" si="14">C55/SUM(C52:C53)</f>
        <v>2807.5</v>
      </c>
      <c r="D56" s="263">
        <f t="shared" si="14"/>
        <v>6944.4444444444443</v>
      </c>
      <c r="E56" s="263">
        <f t="shared" si="14"/>
        <v>13140</v>
      </c>
      <c r="F56" s="263">
        <f t="shared" si="14"/>
        <v>6570</v>
      </c>
      <c r="G56" s="263">
        <f t="shared" si="14"/>
        <v>6465.5172413793107</v>
      </c>
      <c r="H56" s="263">
        <f t="shared" si="14"/>
        <v>6578.9473684210525</v>
      </c>
      <c r="I56" s="260" t="s">
        <v>10</v>
      </c>
      <c r="J56" s="260" t="s">
        <v>10</v>
      </c>
      <c r="K56" s="260" t="s">
        <v>10</v>
      </c>
      <c r="L56" s="260" t="s">
        <v>10</v>
      </c>
      <c r="M56" s="260" t="s">
        <v>10</v>
      </c>
      <c r="N56" s="261" t="s">
        <v>10</v>
      </c>
      <c r="O56" s="252"/>
    </row>
    <row r="57" spans="1:15" ht="14.4" thickBot="1" x14ac:dyDescent="0.3">
      <c r="A57" s="493" t="s">
        <v>322</v>
      </c>
      <c r="B57" s="494"/>
      <c r="C57" s="264">
        <f>C55/(SUM(C51:C53)*C54)</f>
        <v>2807.5</v>
      </c>
      <c r="D57" s="264">
        <f>D55/(SUM(D51:D53)*D54)</f>
        <v>578.7037037037037</v>
      </c>
      <c r="E57" s="264">
        <f>E55/(SUM(E51:E53)*E54)</f>
        <v>525.6</v>
      </c>
      <c r="F57" s="264">
        <f>F55/(SUM(F52:F53)*F54)</f>
        <v>6570</v>
      </c>
      <c r="G57" s="264">
        <f>G55/(SUM(G52:G53)*G54)</f>
        <v>538.79310344827582</v>
      </c>
      <c r="H57" s="264">
        <f>H55/(SUM(H52:H53)*H54)</f>
        <v>263.15789473684208</v>
      </c>
      <c r="I57" s="265" t="s">
        <v>10</v>
      </c>
      <c r="J57" s="265" t="s">
        <v>10</v>
      </c>
      <c r="K57" s="265" t="s">
        <v>10</v>
      </c>
      <c r="L57" s="265" t="s">
        <v>10</v>
      </c>
      <c r="M57" s="265" t="s">
        <v>10</v>
      </c>
      <c r="N57" s="266" t="s">
        <v>10</v>
      </c>
      <c r="O57" s="252"/>
    </row>
    <row r="58" spans="1:15" x14ac:dyDescent="0.25">
      <c r="A58" s="252"/>
      <c r="B58" s="252"/>
      <c r="C58" s="252"/>
      <c r="D58" s="252"/>
      <c r="E58" s="252"/>
      <c r="F58" s="252"/>
      <c r="G58" s="252"/>
      <c r="H58" s="252"/>
      <c r="I58" s="252"/>
      <c r="J58" s="252"/>
      <c r="K58" s="252"/>
      <c r="L58" s="252"/>
      <c r="M58" s="252"/>
      <c r="N58" s="252"/>
      <c r="O58" s="252"/>
    </row>
    <row r="59" spans="1:15" ht="14.4" thickBot="1" x14ac:dyDescent="0.3">
      <c r="A59" s="267" t="s">
        <v>332</v>
      </c>
      <c r="B59" s="252"/>
      <c r="C59" s="252"/>
      <c r="D59" s="252"/>
      <c r="E59" s="252"/>
      <c r="F59" s="252"/>
      <c r="G59" s="252"/>
      <c r="H59" s="252"/>
      <c r="I59" s="252"/>
      <c r="J59" s="252"/>
      <c r="K59" s="252"/>
      <c r="L59" s="252"/>
      <c r="M59" s="252"/>
      <c r="N59" s="252"/>
      <c r="O59" s="252"/>
    </row>
    <row r="60" spans="1:15" x14ac:dyDescent="0.25">
      <c r="A60" s="368" t="s">
        <v>91</v>
      </c>
      <c r="B60" s="473" t="s">
        <v>93</v>
      </c>
      <c r="C60" s="473"/>
      <c r="D60" s="473"/>
      <c r="E60" s="473"/>
      <c r="F60" s="473"/>
      <c r="G60" s="476" t="s">
        <v>323</v>
      </c>
      <c r="H60" s="476"/>
      <c r="I60" s="476"/>
      <c r="J60" s="476" t="s">
        <v>325</v>
      </c>
      <c r="K60" s="476"/>
      <c r="L60" s="476"/>
      <c r="M60" s="1"/>
      <c r="N60" s="1"/>
      <c r="O60" s="1"/>
    </row>
    <row r="61" spans="1:15" x14ac:dyDescent="0.25">
      <c r="A61" s="160" t="str">
        <f>Current!I1</f>
        <v>Use Case</v>
      </c>
      <c r="B61" s="161" t="str">
        <f>Current!J1</f>
        <v>Count</v>
      </c>
      <c r="C61" s="161" t="str">
        <f>Current!K1</f>
        <v>Share</v>
      </c>
      <c r="D61" s="370" t="s">
        <v>7</v>
      </c>
      <c r="E61" s="370" t="s">
        <v>76</v>
      </c>
      <c r="F61" s="370" t="s">
        <v>6</v>
      </c>
      <c r="G61" s="370" t="s">
        <v>7</v>
      </c>
      <c r="H61" s="370" t="s">
        <v>76</v>
      </c>
      <c r="I61" s="370" t="s">
        <v>6</v>
      </c>
      <c r="J61" s="370" t="s">
        <v>7</v>
      </c>
      <c r="K61" s="370" t="s">
        <v>76</v>
      </c>
      <c r="L61" s="370" t="s">
        <v>6</v>
      </c>
      <c r="M61" s="1"/>
      <c r="N61" s="1"/>
      <c r="O61" s="1"/>
    </row>
    <row r="62" spans="1:15" x14ac:dyDescent="0.25">
      <c r="A62" s="160" t="str">
        <f>Current!I2</f>
        <v>Human Space Flight</v>
      </c>
      <c r="B62" s="163">
        <f>Current!J2</f>
        <v>2</v>
      </c>
      <c r="C62" s="255">
        <f t="shared" ref="C62:C68" si="15">B62/$B$69</f>
        <v>4.0816326530612242E-2</v>
      </c>
      <c r="D62" s="269" t="s">
        <v>10</v>
      </c>
      <c r="E62" s="269" t="s">
        <v>10</v>
      </c>
      <c r="F62" s="269" t="s">
        <v>10</v>
      </c>
      <c r="G62" s="269" t="s">
        <v>10</v>
      </c>
      <c r="H62" s="269">
        <f>INDEX(Current!L2:L9,MATCH($A19,Current!I2:I9,0))*$U$11</f>
        <v>558.56666666666649</v>
      </c>
      <c r="I62" s="269" t="s">
        <v>10</v>
      </c>
      <c r="J62" s="269" t="s">
        <v>10</v>
      </c>
      <c r="K62" s="269">
        <f t="shared" ref="K62:K68" si="16">H62*$O$6</f>
        <v>8378.4999999999982</v>
      </c>
      <c r="L62" s="269" t="s">
        <v>10</v>
      </c>
      <c r="M62" s="1"/>
      <c r="N62" s="1"/>
      <c r="O62" s="1"/>
    </row>
    <row r="63" spans="1:15" x14ac:dyDescent="0.25">
      <c r="A63" s="160" t="str">
        <f>Current!I3</f>
        <v>Near Earth Robotic - LEO Science</v>
      </c>
      <c r="B63" s="163">
        <f>Current!J3</f>
        <v>32</v>
      </c>
      <c r="C63" s="255">
        <f t="shared" si="15"/>
        <v>0.65306122448979587</v>
      </c>
      <c r="D63" s="269" t="s">
        <v>10</v>
      </c>
      <c r="E63" s="269" t="s">
        <v>10</v>
      </c>
      <c r="F63" s="269" t="s">
        <v>10</v>
      </c>
      <c r="G63" s="269" t="s">
        <v>10</v>
      </c>
      <c r="H63" s="269">
        <f>INDEX(Current!L3:L10,MATCH($A20,Current!I3:I10,0))*$U$11</f>
        <v>326786.81666666665</v>
      </c>
      <c r="I63" s="269" t="s">
        <v>10</v>
      </c>
      <c r="J63" s="269" t="s">
        <v>10</v>
      </c>
      <c r="K63" s="269">
        <f t="shared" si="16"/>
        <v>4901802.25</v>
      </c>
      <c r="L63" s="269" t="s">
        <v>10</v>
      </c>
      <c r="M63" s="1"/>
      <c r="N63" s="1"/>
      <c r="O63" s="1"/>
    </row>
    <row r="64" spans="1:15" x14ac:dyDescent="0.25">
      <c r="A64" s="160" t="str">
        <f>Current!I4</f>
        <v>Near Earth Robotic - GEO and Near Earth</v>
      </c>
      <c r="B64" s="163">
        <f>Current!J4</f>
        <v>15</v>
      </c>
      <c r="C64" s="255">
        <f t="shared" si="15"/>
        <v>0.30612244897959184</v>
      </c>
      <c r="D64" s="269" t="s">
        <v>10</v>
      </c>
      <c r="E64" s="269" t="s">
        <v>10</v>
      </c>
      <c r="F64" s="269" t="s">
        <v>10</v>
      </c>
      <c r="G64" s="269" t="s">
        <v>10</v>
      </c>
      <c r="H64" s="269">
        <f>INDEX(Current!L4:L11,MATCH($A21,Current!I4:I11,0))*$U$11</f>
        <v>72904.583333333343</v>
      </c>
      <c r="I64" s="269" t="s">
        <v>10</v>
      </c>
      <c r="J64" s="269" t="s">
        <v>10</v>
      </c>
      <c r="K64" s="269">
        <f t="shared" si="16"/>
        <v>1093568.7500000002</v>
      </c>
      <c r="L64" s="269" t="s">
        <v>10</v>
      </c>
      <c r="M64" s="1"/>
      <c r="N64" s="1"/>
      <c r="O64" s="1"/>
    </row>
    <row r="65" spans="1:15" ht="14.4" customHeight="1" x14ac:dyDescent="0.25">
      <c r="A65" s="160" t="str">
        <f>Current!I5</f>
        <v>Deep Space Robotic</v>
      </c>
      <c r="B65" s="163">
        <f>Current!J5</f>
        <v>0</v>
      </c>
      <c r="C65" s="255">
        <f t="shared" si="15"/>
        <v>0</v>
      </c>
      <c r="D65" s="269" t="s">
        <v>10</v>
      </c>
      <c r="E65" s="269" t="s">
        <v>10</v>
      </c>
      <c r="F65" s="269" t="s">
        <v>10</v>
      </c>
      <c r="G65" s="269" t="s">
        <v>10</v>
      </c>
      <c r="H65" s="269">
        <f>INDEX(Current!L5:L13,MATCH($A22,Current!I5:I12,0))*$U$11</f>
        <v>0</v>
      </c>
      <c r="I65" s="269" t="s">
        <v>10</v>
      </c>
      <c r="J65" s="269" t="s">
        <v>10</v>
      </c>
      <c r="K65" s="269">
        <f t="shared" si="16"/>
        <v>0</v>
      </c>
      <c r="L65" s="269" t="s">
        <v>10</v>
      </c>
      <c r="M65" s="1"/>
      <c r="N65" s="1"/>
      <c r="O65" s="1"/>
    </row>
    <row r="66" spans="1:15" x14ac:dyDescent="0.25">
      <c r="A66" s="160" t="str">
        <f>Current!I6</f>
        <v>Near Earth Robotic - Low Latency &amp; Complex Needs</v>
      </c>
      <c r="B66" s="163">
        <f>Current!J6</f>
        <v>0</v>
      </c>
      <c r="C66" s="255">
        <f t="shared" si="15"/>
        <v>0</v>
      </c>
      <c r="D66" s="269" t="s">
        <v>10</v>
      </c>
      <c r="E66" s="269" t="s">
        <v>10</v>
      </c>
      <c r="F66" s="269" t="s">
        <v>10</v>
      </c>
      <c r="G66" s="269" t="s">
        <v>10</v>
      </c>
      <c r="H66" s="269">
        <f>INDEX(Current!L6:L13,MATCH($A23,Current!I6:I13,0))*$U$11</f>
        <v>0</v>
      </c>
      <c r="I66" s="269" t="s">
        <v>10</v>
      </c>
      <c r="J66" s="269" t="s">
        <v>10</v>
      </c>
      <c r="K66" s="269">
        <f t="shared" si="16"/>
        <v>0</v>
      </c>
      <c r="L66" s="269" t="s">
        <v>10</v>
      </c>
      <c r="M66" s="1"/>
      <c r="N66" s="1"/>
      <c r="O66" s="1"/>
    </row>
    <row r="67" spans="1:15" x14ac:dyDescent="0.25">
      <c r="A67" s="160" t="str">
        <f>Current!I7</f>
        <v>Mission Operations</v>
      </c>
      <c r="B67" s="163">
        <f>Current!J7</f>
        <v>0</v>
      </c>
      <c r="C67" s="255">
        <f t="shared" si="15"/>
        <v>0</v>
      </c>
      <c r="D67" s="269" t="s">
        <v>10</v>
      </c>
      <c r="E67" s="269" t="s">
        <v>10</v>
      </c>
      <c r="F67" s="269" t="s">
        <v>10</v>
      </c>
      <c r="G67" s="269" t="s">
        <v>10</v>
      </c>
      <c r="H67" s="269">
        <f>INDEX(Current!L7:L14,MATCH($A24,Current!I7:I14,0))*$U$11</f>
        <v>0</v>
      </c>
      <c r="I67" s="269" t="s">
        <v>10</v>
      </c>
      <c r="J67" s="269" t="s">
        <v>10</v>
      </c>
      <c r="K67" s="269">
        <f t="shared" si="16"/>
        <v>0</v>
      </c>
      <c r="L67" s="269" t="s">
        <v>10</v>
      </c>
      <c r="M67" s="1"/>
      <c r="N67" s="1"/>
      <c r="O67" s="1"/>
    </row>
    <row r="68" spans="1:15" x14ac:dyDescent="0.25">
      <c r="A68" s="160" t="str">
        <f>Current!I9</f>
        <v>Terrestrial &amp; Aerial</v>
      </c>
      <c r="B68" s="163">
        <f>Current!J9</f>
        <v>0</v>
      </c>
      <c r="C68" s="255">
        <f t="shared" si="15"/>
        <v>0</v>
      </c>
      <c r="D68" s="269" t="s">
        <v>10</v>
      </c>
      <c r="E68" s="269" t="s">
        <v>10</v>
      </c>
      <c r="F68" s="269" t="s">
        <v>10</v>
      </c>
      <c r="G68" s="269" t="s">
        <v>10</v>
      </c>
      <c r="H68" s="269">
        <f>INDEX(Current!L8:L15,MATCH($A25,Current!I8:I15,0))*$U$11</f>
        <v>0</v>
      </c>
      <c r="I68" s="269" t="s">
        <v>10</v>
      </c>
      <c r="J68" s="269" t="s">
        <v>10</v>
      </c>
      <c r="K68" s="269">
        <f t="shared" si="16"/>
        <v>0</v>
      </c>
      <c r="L68" s="269" t="s">
        <v>10</v>
      </c>
      <c r="M68" s="1"/>
      <c r="N68" s="1"/>
      <c r="O68" s="1"/>
    </row>
    <row r="69" spans="1:15" ht="15.6" thickBot="1" x14ac:dyDescent="0.3">
      <c r="A69" s="376" t="s">
        <v>312</v>
      </c>
      <c r="B69" s="270">
        <f>SUM(B62:B67,B68)</f>
        <v>49</v>
      </c>
      <c r="C69" s="458">
        <f t="shared" ref="C69:L69" si="17">SUM(C62:C68)</f>
        <v>1</v>
      </c>
      <c r="D69" s="272">
        <f t="shared" si="17"/>
        <v>0</v>
      </c>
      <c r="E69" s="272">
        <f t="shared" si="17"/>
        <v>0</v>
      </c>
      <c r="F69" s="272">
        <f t="shared" si="17"/>
        <v>0</v>
      </c>
      <c r="G69" s="272">
        <f t="shared" si="17"/>
        <v>0</v>
      </c>
      <c r="H69" s="272">
        <f t="shared" si="17"/>
        <v>400249.96666666667</v>
      </c>
      <c r="I69" s="272">
        <f t="shared" si="17"/>
        <v>0</v>
      </c>
      <c r="J69" s="272">
        <f t="shared" si="17"/>
        <v>0</v>
      </c>
      <c r="K69" s="272">
        <f t="shared" si="17"/>
        <v>6003749.5</v>
      </c>
      <c r="L69" s="272">
        <f t="shared" si="17"/>
        <v>0</v>
      </c>
      <c r="M69" s="1"/>
      <c r="N69" s="1"/>
      <c r="O69" s="1"/>
    </row>
    <row r="70" spans="1:15" x14ac:dyDescent="0.25">
      <c r="A70" s="252"/>
      <c r="B70" s="252"/>
      <c r="C70" s="252"/>
      <c r="D70" s="252"/>
      <c r="E70" s="252"/>
      <c r="F70" s="252"/>
      <c r="G70" s="252"/>
      <c r="H70" s="252"/>
      <c r="I70" s="252"/>
      <c r="J70" s="252"/>
      <c r="K70" s="252"/>
      <c r="L70" s="252"/>
      <c r="M70" s="252"/>
      <c r="N70" s="252"/>
      <c r="O70" s="252"/>
    </row>
    <row r="71" spans="1:15" ht="14.4" thickBot="1" x14ac:dyDescent="0.3">
      <c r="A71" s="267" t="s">
        <v>333</v>
      </c>
      <c r="B71" s="252"/>
      <c r="C71" s="252"/>
      <c r="D71" s="252"/>
      <c r="E71" s="252"/>
      <c r="F71" s="252"/>
      <c r="G71" s="252"/>
      <c r="H71" s="252"/>
      <c r="I71" s="252"/>
      <c r="J71" s="252"/>
      <c r="K71" s="252"/>
      <c r="L71" s="252"/>
      <c r="M71" s="252"/>
      <c r="N71" s="252"/>
      <c r="O71" s="252"/>
    </row>
    <row r="72" spans="1:15" x14ac:dyDescent="0.25">
      <c r="A72" s="368" t="s">
        <v>91</v>
      </c>
      <c r="B72" s="473" t="s">
        <v>313</v>
      </c>
      <c r="C72" s="473"/>
      <c r="D72" s="473"/>
      <c r="E72" s="473"/>
      <c r="F72" s="473"/>
      <c r="G72" s="476" t="s">
        <v>323</v>
      </c>
      <c r="H72" s="476"/>
      <c r="I72" s="476"/>
      <c r="J72" s="476" t="s">
        <v>325</v>
      </c>
      <c r="K72" s="476"/>
      <c r="L72" s="476"/>
      <c r="M72" s="1"/>
      <c r="N72" s="1"/>
      <c r="O72" s="1"/>
    </row>
    <row r="73" spans="1:15" x14ac:dyDescent="0.25">
      <c r="A73" s="160" t="str">
        <f>Current!I1</f>
        <v>Use Case</v>
      </c>
      <c r="B73" s="161" t="str">
        <f>Current!J1</f>
        <v>Count</v>
      </c>
      <c r="C73" s="161" t="str">
        <f>Current!K1</f>
        <v>Share</v>
      </c>
      <c r="D73" s="370" t="s">
        <v>7</v>
      </c>
      <c r="E73" s="370" t="s">
        <v>76</v>
      </c>
      <c r="F73" s="370" t="s">
        <v>6</v>
      </c>
      <c r="G73" s="370" t="s">
        <v>7</v>
      </c>
      <c r="H73" s="370" t="s">
        <v>76</v>
      </c>
      <c r="I73" s="370" t="s">
        <v>6</v>
      </c>
      <c r="J73" s="370" t="s">
        <v>7</v>
      </c>
      <c r="K73" s="370" t="s">
        <v>76</v>
      </c>
      <c r="L73" s="370" t="s">
        <v>6</v>
      </c>
      <c r="M73" s="1"/>
      <c r="N73" s="1"/>
      <c r="O73" s="1"/>
    </row>
    <row r="74" spans="1:15" x14ac:dyDescent="0.25">
      <c r="A74" s="160" t="str">
        <f>Current!I2</f>
        <v>Human Space Flight</v>
      </c>
      <c r="B74" s="273">
        <f>Current!W2</f>
        <v>16</v>
      </c>
      <c r="C74" s="255">
        <f t="shared" ref="C74:C79" si="18">B74/$B$38</f>
        <v>0.25396825396825395</v>
      </c>
      <c r="D74" s="269" t="s">
        <v>10</v>
      </c>
      <c r="E74" s="269" t="s">
        <v>10</v>
      </c>
      <c r="F74" s="269" t="s">
        <v>10</v>
      </c>
      <c r="G74" s="269" t="s">
        <v>10</v>
      </c>
      <c r="H74" s="269">
        <f>INDEX(Current!Y2:Y9,MATCH($A31,Current!V2:V9,0))*$U$11</f>
        <v>1256581.5</v>
      </c>
      <c r="I74" s="269" t="s">
        <v>10</v>
      </c>
      <c r="J74" s="269" t="s">
        <v>10</v>
      </c>
      <c r="K74" s="269">
        <f t="shared" ref="K74:K80" si="19">H74*$O$7</f>
        <v>50263260</v>
      </c>
      <c r="L74" s="269" t="s">
        <v>10</v>
      </c>
      <c r="M74" s="1"/>
      <c r="N74" s="1"/>
      <c r="O74" s="1"/>
    </row>
    <row r="75" spans="1:15" x14ac:dyDescent="0.25">
      <c r="A75" s="160" t="str">
        <f>Current!I3</f>
        <v>Near Earth Robotic - LEO Science</v>
      </c>
      <c r="B75" s="273">
        <f>Current!W3</f>
        <v>25</v>
      </c>
      <c r="C75" s="255">
        <f t="shared" si="18"/>
        <v>0.3968253968253968</v>
      </c>
      <c r="D75" s="269" t="s">
        <v>10</v>
      </c>
      <c r="E75" s="269" t="s">
        <v>10</v>
      </c>
      <c r="F75" s="269" t="s">
        <v>10</v>
      </c>
      <c r="G75" s="269" t="s">
        <v>10</v>
      </c>
      <c r="H75" s="269">
        <f>INDEX(Current!Y3:Y10,MATCH($A32,Current!V3:V10,0))*$U$11</f>
        <v>2189530.5</v>
      </c>
      <c r="I75" s="269" t="s">
        <v>10</v>
      </c>
      <c r="J75" s="269" t="s">
        <v>10</v>
      </c>
      <c r="K75" s="269">
        <f t="shared" si="19"/>
        <v>87581220</v>
      </c>
      <c r="L75" s="269" t="s">
        <v>10</v>
      </c>
      <c r="M75" s="1"/>
      <c r="N75" s="1"/>
      <c r="O75" s="1"/>
    </row>
    <row r="76" spans="1:15" x14ac:dyDescent="0.25">
      <c r="A76" s="160" t="str">
        <f>Current!I4</f>
        <v>Near Earth Robotic - GEO and Near Earth</v>
      </c>
      <c r="B76" s="273">
        <f>Current!W4</f>
        <v>4</v>
      </c>
      <c r="C76" s="255">
        <f t="shared" si="18"/>
        <v>6.3492063492063489E-2</v>
      </c>
      <c r="D76" s="269" t="s">
        <v>10</v>
      </c>
      <c r="E76" s="269" t="s">
        <v>10</v>
      </c>
      <c r="F76" s="269" t="s">
        <v>10</v>
      </c>
      <c r="G76" s="269" t="s">
        <v>10</v>
      </c>
      <c r="H76" s="269">
        <f>INDEX(Current!Y4:Y11,MATCH($A33,Current!V4:V11,0))*$U$11</f>
        <v>218.5</v>
      </c>
      <c r="I76" s="269" t="s">
        <v>10</v>
      </c>
      <c r="J76" s="269" t="s">
        <v>10</v>
      </c>
      <c r="K76" s="269">
        <f t="shared" si="19"/>
        <v>8740</v>
      </c>
      <c r="L76" s="269" t="s">
        <v>10</v>
      </c>
      <c r="M76" s="1"/>
      <c r="N76" s="1"/>
      <c r="O76" s="1"/>
    </row>
    <row r="77" spans="1:15" x14ac:dyDescent="0.25">
      <c r="A77" s="160" t="str">
        <f>Current!I5</f>
        <v>Deep Space Robotic</v>
      </c>
      <c r="B77" s="273">
        <f>Current!W5</f>
        <v>1</v>
      </c>
      <c r="C77" s="255">
        <f t="shared" si="18"/>
        <v>1.5873015873015872E-2</v>
      </c>
      <c r="D77" s="269" t="s">
        <v>10</v>
      </c>
      <c r="E77" s="269" t="s">
        <v>10</v>
      </c>
      <c r="F77" s="269" t="s">
        <v>10</v>
      </c>
      <c r="G77" s="269" t="s">
        <v>10</v>
      </c>
      <c r="H77" s="269">
        <f>INDEX(Current!Y5:Y12,MATCH($A34,Current!V5:V12,0))*$U$11</f>
        <v>286</v>
      </c>
      <c r="I77" s="269" t="s">
        <v>10</v>
      </c>
      <c r="J77" s="269" t="s">
        <v>10</v>
      </c>
      <c r="K77" s="269">
        <f t="shared" si="19"/>
        <v>11440</v>
      </c>
      <c r="L77" s="269" t="s">
        <v>10</v>
      </c>
      <c r="M77" s="1"/>
      <c r="N77" s="1"/>
      <c r="O77" s="1"/>
    </row>
    <row r="78" spans="1:15" x14ac:dyDescent="0.25">
      <c r="A78" s="160" t="str">
        <f>Current!I6</f>
        <v>Near Earth Robotic - Low Latency &amp; Complex Needs</v>
      </c>
      <c r="B78" s="273">
        <f>Current!W6</f>
        <v>2</v>
      </c>
      <c r="C78" s="255">
        <f t="shared" si="18"/>
        <v>3.1746031746031744E-2</v>
      </c>
      <c r="D78" s="269" t="s">
        <v>10</v>
      </c>
      <c r="E78" s="269" t="s">
        <v>10</v>
      </c>
      <c r="F78" s="269" t="s">
        <v>10</v>
      </c>
      <c r="G78" s="269" t="s">
        <v>10</v>
      </c>
      <c r="H78" s="269">
        <f>INDEX(Current!Y6:Y13,MATCH($A35,Current!V6:V13,0))*$U$11</f>
        <v>4094</v>
      </c>
      <c r="I78" s="269" t="s">
        <v>10</v>
      </c>
      <c r="J78" s="269" t="s">
        <v>10</v>
      </c>
      <c r="K78" s="269">
        <f t="shared" si="19"/>
        <v>163760</v>
      </c>
      <c r="L78" s="269" t="s">
        <v>10</v>
      </c>
      <c r="M78" s="1"/>
      <c r="N78" s="1"/>
      <c r="O78" s="1"/>
    </row>
    <row r="79" spans="1:15" x14ac:dyDescent="0.25">
      <c r="A79" s="160" t="str">
        <f>Current!I7</f>
        <v>Mission Operations</v>
      </c>
      <c r="B79" s="273">
        <f>Current!W7</f>
        <v>0</v>
      </c>
      <c r="C79" s="255">
        <f t="shared" si="18"/>
        <v>0</v>
      </c>
      <c r="D79" s="269" t="s">
        <v>10</v>
      </c>
      <c r="E79" s="269" t="s">
        <v>10</v>
      </c>
      <c r="F79" s="269" t="s">
        <v>10</v>
      </c>
      <c r="G79" s="269" t="s">
        <v>10</v>
      </c>
      <c r="H79" s="269">
        <f>INDEX(Current!Y7:Y14,MATCH($A36,Current!V7:V14,0))*$U$11</f>
        <v>0</v>
      </c>
      <c r="I79" s="269" t="s">
        <v>10</v>
      </c>
      <c r="J79" s="269" t="s">
        <v>10</v>
      </c>
      <c r="K79" s="269">
        <f t="shared" si="19"/>
        <v>0</v>
      </c>
      <c r="L79" s="269" t="s">
        <v>10</v>
      </c>
      <c r="M79" s="1"/>
      <c r="N79" s="1"/>
      <c r="O79" s="1"/>
    </row>
    <row r="80" spans="1:15" x14ac:dyDescent="0.25">
      <c r="A80" s="160" t="str">
        <f>Current!I9</f>
        <v>Terrestrial &amp; Aerial</v>
      </c>
      <c r="B80" s="273">
        <f>Current!W9</f>
        <v>15</v>
      </c>
      <c r="C80" s="255">
        <f>B80/$B$38</f>
        <v>0.23809523809523808</v>
      </c>
      <c r="D80" s="269" t="s">
        <v>10</v>
      </c>
      <c r="E80" s="269" t="s">
        <v>10</v>
      </c>
      <c r="F80" s="269" t="s">
        <v>10</v>
      </c>
      <c r="G80" s="269" t="s">
        <v>10</v>
      </c>
      <c r="H80" s="269">
        <f>INDEX(Current!Y8:Y15,MATCH($A37,Current!V8:V15,0))*$U$11</f>
        <v>36222.5</v>
      </c>
      <c r="I80" s="269" t="s">
        <v>10</v>
      </c>
      <c r="J80" s="269" t="s">
        <v>10</v>
      </c>
      <c r="K80" s="269">
        <f t="shared" si="19"/>
        <v>1448900</v>
      </c>
      <c r="L80" s="269" t="s">
        <v>10</v>
      </c>
      <c r="M80" s="1"/>
      <c r="N80" s="1"/>
      <c r="O80" s="1"/>
    </row>
    <row r="81" spans="1:19" ht="15.6" thickBot="1" x14ac:dyDescent="0.3">
      <c r="A81" s="159" t="s">
        <v>312</v>
      </c>
      <c r="B81" s="270">
        <f>SUM(B74:B79,B80)</f>
        <v>63</v>
      </c>
      <c r="C81" s="458">
        <f t="shared" ref="C81:L81" si="20">SUM(C74:C80)</f>
        <v>0.99999999999999978</v>
      </c>
      <c r="D81" s="272">
        <f t="shared" si="20"/>
        <v>0</v>
      </c>
      <c r="E81" s="272">
        <f t="shared" si="20"/>
        <v>0</v>
      </c>
      <c r="F81" s="272">
        <f t="shared" si="20"/>
        <v>0</v>
      </c>
      <c r="G81" s="272">
        <f t="shared" si="20"/>
        <v>0</v>
      </c>
      <c r="H81" s="272">
        <f t="shared" si="20"/>
        <v>3486933</v>
      </c>
      <c r="I81" s="272">
        <f t="shared" si="20"/>
        <v>0</v>
      </c>
      <c r="J81" s="272">
        <f t="shared" si="20"/>
        <v>0</v>
      </c>
      <c r="K81" s="272">
        <f t="shared" si="20"/>
        <v>139477320</v>
      </c>
      <c r="L81" s="272">
        <f t="shared" si="20"/>
        <v>0</v>
      </c>
      <c r="M81" s="1"/>
      <c r="N81" s="1"/>
      <c r="O81" s="1"/>
    </row>
    <row r="82" spans="1:19" x14ac:dyDescent="0.25">
      <c r="A82" s="252"/>
      <c r="B82" s="252"/>
      <c r="C82" s="252"/>
      <c r="D82" s="252"/>
      <c r="E82" s="252"/>
      <c r="F82" s="252"/>
      <c r="G82" s="252"/>
      <c r="H82" s="252"/>
      <c r="I82" s="252"/>
      <c r="J82" s="252"/>
      <c r="K82" s="252"/>
      <c r="L82" s="252"/>
      <c r="M82" s="252"/>
      <c r="N82" s="252"/>
      <c r="O82" s="252"/>
    </row>
    <row r="83" spans="1:19" ht="14.4" customHeight="1" x14ac:dyDescent="0.25"/>
    <row r="84" spans="1:19" s="194" customFormat="1" x14ac:dyDescent="0.25">
      <c r="S84" s="220"/>
    </row>
    <row r="85" spans="1:19" ht="14.4" thickBot="1" x14ac:dyDescent="0.3">
      <c r="A85" s="136" t="s">
        <v>165</v>
      </c>
    </row>
    <row r="86" spans="1:19" x14ac:dyDescent="0.25">
      <c r="A86" s="462" t="s">
        <v>166</v>
      </c>
      <c r="B86" s="463"/>
      <c r="C86" s="463"/>
      <c r="D86" s="464"/>
      <c r="E86" s="60"/>
      <c r="K86" s="462" t="s">
        <v>337</v>
      </c>
      <c r="L86" s="463"/>
      <c r="M86" s="463"/>
      <c r="N86" s="463"/>
      <c r="O86" s="464"/>
    </row>
    <row r="87" spans="1:19" x14ac:dyDescent="0.25">
      <c r="A87" s="369" t="s">
        <v>5</v>
      </c>
      <c r="B87" s="370" t="s">
        <v>8</v>
      </c>
      <c r="C87" s="370" t="s">
        <v>9</v>
      </c>
      <c r="D87" s="141" t="s">
        <v>98</v>
      </c>
      <c r="K87" s="381" t="s">
        <v>338</v>
      </c>
      <c r="L87" s="382" t="s">
        <v>339</v>
      </c>
      <c r="M87" s="370" t="s">
        <v>7</v>
      </c>
      <c r="N87" s="370" t="s">
        <v>76</v>
      </c>
      <c r="O87" s="186" t="s">
        <v>6</v>
      </c>
    </row>
    <row r="88" spans="1:19" ht="41.4" x14ac:dyDescent="0.25">
      <c r="A88" s="381" t="s">
        <v>89</v>
      </c>
      <c r="B88" s="15" t="s">
        <v>90</v>
      </c>
      <c r="C88" s="15">
        <v>2</v>
      </c>
      <c r="D88" s="16" t="s">
        <v>99</v>
      </c>
      <c r="K88" s="465" t="s">
        <v>335</v>
      </c>
      <c r="L88" s="378" t="s">
        <v>340</v>
      </c>
      <c r="M88" s="203">
        <f>J26</f>
        <v>0</v>
      </c>
      <c r="N88" s="203">
        <f>K26</f>
        <v>6003749.5</v>
      </c>
      <c r="O88" s="205">
        <f>L26</f>
        <v>0</v>
      </c>
    </row>
    <row r="89" spans="1:19" ht="27.6" x14ac:dyDescent="0.25">
      <c r="A89" s="381" t="s">
        <v>97</v>
      </c>
      <c r="B89" s="15" t="s">
        <v>90</v>
      </c>
      <c r="C89" s="15">
        <v>63.7</v>
      </c>
      <c r="D89" s="204" t="s">
        <v>100</v>
      </c>
      <c r="K89" s="465"/>
      <c r="L89" s="378" t="s">
        <v>341</v>
      </c>
      <c r="M89" s="203">
        <f>J38</f>
        <v>0</v>
      </c>
      <c r="N89" s="203">
        <f>K38</f>
        <v>139477320</v>
      </c>
      <c r="O89" s="205">
        <f>L38</f>
        <v>0</v>
      </c>
    </row>
    <row r="90" spans="1:19" ht="27.6" x14ac:dyDescent="0.25">
      <c r="A90" s="381" t="s">
        <v>156</v>
      </c>
      <c r="B90" s="15" t="s">
        <v>101</v>
      </c>
      <c r="C90" s="15">
        <v>500</v>
      </c>
      <c r="D90" s="16" t="s">
        <v>99</v>
      </c>
      <c r="K90" s="465"/>
      <c r="L90" s="378" t="s">
        <v>342</v>
      </c>
      <c r="M90" s="203">
        <f>M45</f>
        <v>0</v>
      </c>
      <c r="N90" s="203">
        <f>K45</f>
        <v>66880</v>
      </c>
      <c r="O90" s="205">
        <f>O45</f>
        <v>0</v>
      </c>
    </row>
    <row r="91" spans="1:19" ht="42" thickBot="1" x14ac:dyDescent="0.3">
      <c r="A91" s="383" t="s">
        <v>157</v>
      </c>
      <c r="B91" s="17" t="s">
        <v>90</v>
      </c>
      <c r="C91" s="456">
        <v>0.5</v>
      </c>
      <c r="D91" s="143" t="s">
        <v>99</v>
      </c>
      <c r="K91" s="465" t="s">
        <v>336</v>
      </c>
      <c r="L91" s="378" t="s">
        <v>343</v>
      </c>
      <c r="M91" s="203">
        <f>J69</f>
        <v>0</v>
      </c>
      <c r="N91" s="203">
        <f>K69</f>
        <v>6003749.5</v>
      </c>
      <c r="O91" s="205">
        <f>L69</f>
        <v>0</v>
      </c>
    </row>
    <row r="92" spans="1:19" ht="28.2" thickBot="1" x14ac:dyDescent="0.3">
      <c r="D92" s="457"/>
      <c r="K92" s="474"/>
      <c r="L92" s="206" t="s">
        <v>344</v>
      </c>
      <c r="M92" s="207">
        <f>J81</f>
        <v>0</v>
      </c>
      <c r="N92" s="207">
        <f>K81</f>
        <v>139477320</v>
      </c>
      <c r="O92" s="208">
        <f>L81</f>
        <v>0</v>
      </c>
    </row>
    <row r="93" spans="1:19" ht="14.4" thickBot="1" x14ac:dyDescent="0.3"/>
    <row r="94" spans="1:19" ht="14.4" thickBot="1" x14ac:dyDescent="0.3">
      <c r="K94" s="471" t="s">
        <v>84</v>
      </c>
      <c r="L94" s="472"/>
      <c r="M94" s="209">
        <f>SUM(M88:M92)</f>
        <v>0</v>
      </c>
      <c r="N94" s="209">
        <f>SUM(N88:N92)</f>
        <v>291029019</v>
      </c>
      <c r="O94" s="210">
        <f>SUM(O88:O92)</f>
        <v>0</v>
      </c>
    </row>
    <row r="95" spans="1:19" ht="27.6" x14ac:dyDescent="0.25">
      <c r="A95" s="362" t="s">
        <v>334</v>
      </c>
      <c r="B95" s="363" t="s">
        <v>9</v>
      </c>
      <c r="C95" s="363" t="s">
        <v>8</v>
      </c>
      <c r="D95" s="363" t="s">
        <v>149</v>
      </c>
      <c r="E95" s="377" t="s">
        <v>153</v>
      </c>
      <c r="F95" s="198" t="s">
        <v>154</v>
      </c>
      <c r="G95" s="198" t="s">
        <v>155</v>
      </c>
      <c r="H95" s="199" t="s">
        <v>98</v>
      </c>
      <c r="J95" s="2"/>
      <c r="K95" s="2"/>
    </row>
    <row r="96" spans="1:19" ht="14.4" thickBot="1" x14ac:dyDescent="0.3">
      <c r="A96" s="200" t="s">
        <v>148</v>
      </c>
      <c r="B96" s="201">
        <v>3</v>
      </c>
      <c r="C96" s="201" t="s">
        <v>152</v>
      </c>
      <c r="D96" s="201" t="s">
        <v>10</v>
      </c>
      <c r="E96" s="201" t="s">
        <v>10</v>
      </c>
      <c r="F96" s="201" t="s">
        <v>5</v>
      </c>
      <c r="G96" s="201" t="s">
        <v>10</v>
      </c>
      <c r="H96" s="202" t="s">
        <v>99</v>
      </c>
      <c r="J96" s="2"/>
      <c r="K96" s="2"/>
    </row>
    <row r="99" spans="1:19" s="194" customFormat="1" x14ac:dyDescent="0.25">
      <c r="S99" s="220"/>
    </row>
    <row r="100" spans="1:19" ht="14.4" thickBot="1" x14ac:dyDescent="0.3"/>
    <row r="101" spans="1:19" x14ac:dyDescent="0.25">
      <c r="A101" s="462" t="s">
        <v>323</v>
      </c>
      <c r="B101" s="463"/>
      <c r="C101" s="463"/>
      <c r="D101" s="463"/>
      <c r="E101" s="464"/>
      <c r="G101" s="462" t="s">
        <v>324</v>
      </c>
      <c r="H101" s="463"/>
      <c r="I101" s="463"/>
      <c r="J101" s="463"/>
      <c r="K101" s="464"/>
      <c r="M101" s="462" t="s">
        <v>337</v>
      </c>
      <c r="N101" s="463"/>
      <c r="O101" s="463"/>
      <c r="P101" s="463"/>
      <c r="Q101" s="464"/>
    </row>
    <row r="102" spans="1:19" x14ac:dyDescent="0.25">
      <c r="A102" s="381" t="s">
        <v>338</v>
      </c>
      <c r="B102" s="382" t="s">
        <v>339</v>
      </c>
      <c r="C102" s="370" t="s">
        <v>7</v>
      </c>
      <c r="D102" s="370" t="s">
        <v>76</v>
      </c>
      <c r="E102" s="186" t="s">
        <v>6</v>
      </c>
      <c r="G102" s="381" t="s">
        <v>338</v>
      </c>
      <c r="H102" s="382" t="s">
        <v>339</v>
      </c>
      <c r="I102" s="370" t="s">
        <v>7</v>
      </c>
      <c r="J102" s="370" t="s">
        <v>76</v>
      </c>
      <c r="K102" s="186" t="s">
        <v>6</v>
      </c>
      <c r="M102" s="381" t="s">
        <v>338</v>
      </c>
      <c r="N102" s="382" t="s">
        <v>339</v>
      </c>
      <c r="O102" s="370" t="s">
        <v>7</v>
      </c>
      <c r="P102" s="370" t="s">
        <v>76</v>
      </c>
      <c r="Q102" s="186" t="s">
        <v>6</v>
      </c>
    </row>
    <row r="103" spans="1:19" ht="27.6" x14ac:dyDescent="0.25">
      <c r="A103" s="465" t="s">
        <v>335</v>
      </c>
      <c r="B103" s="378" t="s">
        <v>340</v>
      </c>
      <c r="C103" s="203">
        <f>G26</f>
        <v>0</v>
      </c>
      <c r="D103" s="203">
        <f>H26</f>
        <v>400249.96666666667</v>
      </c>
      <c r="E103" s="203">
        <f>I26</f>
        <v>0</v>
      </c>
      <c r="G103" s="465" t="s">
        <v>335</v>
      </c>
      <c r="H103" s="378" t="s">
        <v>340</v>
      </c>
      <c r="I103" s="203">
        <f>J26</f>
        <v>0</v>
      </c>
      <c r="J103" s="203">
        <f>K26</f>
        <v>6003749.5</v>
      </c>
      <c r="K103" s="203">
        <f>L26</f>
        <v>0</v>
      </c>
      <c r="M103" s="465" t="s">
        <v>335</v>
      </c>
      <c r="N103" s="378" t="s">
        <v>340</v>
      </c>
      <c r="O103" s="203">
        <f>M26</f>
        <v>0</v>
      </c>
      <c r="P103" s="203">
        <f>N26</f>
        <v>0</v>
      </c>
      <c r="Q103" s="205">
        <f>O26</f>
        <v>0</v>
      </c>
    </row>
    <row r="104" spans="1:19" ht="27.6" x14ac:dyDescent="0.25">
      <c r="A104" s="465"/>
      <c r="B104" s="378" t="s">
        <v>341</v>
      </c>
      <c r="C104" s="203">
        <f>G38</f>
        <v>0</v>
      </c>
      <c r="D104" s="203">
        <f>H38</f>
        <v>3486933</v>
      </c>
      <c r="E104" s="203">
        <f>I38</f>
        <v>0</v>
      </c>
      <c r="G104" s="465"/>
      <c r="H104" s="378" t="s">
        <v>341</v>
      </c>
      <c r="I104" s="203">
        <f>J38</f>
        <v>0</v>
      </c>
      <c r="J104" s="203">
        <f>K38</f>
        <v>139477320</v>
      </c>
      <c r="K104" s="203">
        <f>L38</f>
        <v>0</v>
      </c>
      <c r="M104" s="465"/>
      <c r="N104" s="378" t="s">
        <v>341</v>
      </c>
      <c r="O104" s="203">
        <f>M38</f>
        <v>0</v>
      </c>
      <c r="P104" s="203">
        <f>N38</f>
        <v>0</v>
      </c>
      <c r="Q104" s="205">
        <f>O38</f>
        <v>0</v>
      </c>
    </row>
    <row r="105" spans="1:19" ht="27.6" x14ac:dyDescent="0.25">
      <c r="A105" s="465"/>
      <c r="B105" s="378" t="s">
        <v>342</v>
      </c>
      <c r="C105" s="203">
        <f>G45</f>
        <v>0</v>
      </c>
      <c r="D105" s="203">
        <f>H45</f>
        <v>1672</v>
      </c>
      <c r="E105" s="203">
        <f>I45</f>
        <v>0</v>
      </c>
      <c r="G105" s="465"/>
      <c r="H105" s="378" t="s">
        <v>342</v>
      </c>
      <c r="I105" s="203">
        <f>J45</f>
        <v>0</v>
      </c>
      <c r="J105" s="203">
        <f>K45</f>
        <v>66880</v>
      </c>
      <c r="K105" s="203">
        <f>L45</f>
        <v>0</v>
      </c>
      <c r="M105" s="465"/>
      <c r="N105" s="378" t="s">
        <v>342</v>
      </c>
      <c r="O105" s="203">
        <f>M45</f>
        <v>0</v>
      </c>
      <c r="P105" s="203">
        <f>N45</f>
        <v>0</v>
      </c>
      <c r="Q105" s="205">
        <f>O45</f>
        <v>0</v>
      </c>
    </row>
    <row r="106" spans="1:19" ht="27.6" x14ac:dyDescent="0.25">
      <c r="A106" s="465" t="s">
        <v>336</v>
      </c>
      <c r="B106" s="378" t="s">
        <v>343</v>
      </c>
      <c r="C106" s="203">
        <f>G69</f>
        <v>0</v>
      </c>
      <c r="D106" s="203">
        <f>H69</f>
        <v>400249.96666666667</v>
      </c>
      <c r="E106" s="203">
        <f>I69</f>
        <v>0</v>
      </c>
      <c r="G106" s="465" t="s">
        <v>336</v>
      </c>
      <c r="H106" s="378" t="s">
        <v>343</v>
      </c>
      <c r="I106" s="203">
        <f>J69</f>
        <v>0</v>
      </c>
      <c r="J106" s="203">
        <f>K69</f>
        <v>6003749.5</v>
      </c>
      <c r="K106" s="203">
        <f>L69</f>
        <v>0</v>
      </c>
      <c r="M106" s="465" t="s">
        <v>336</v>
      </c>
      <c r="N106" s="378" t="s">
        <v>343</v>
      </c>
      <c r="O106" s="203">
        <f>M69</f>
        <v>0</v>
      </c>
      <c r="P106" s="203">
        <f>N69</f>
        <v>0</v>
      </c>
      <c r="Q106" s="205">
        <f>O69</f>
        <v>0</v>
      </c>
    </row>
    <row r="107" spans="1:19" ht="28.2" thickBot="1" x14ac:dyDescent="0.3">
      <c r="A107" s="474"/>
      <c r="B107" s="206" t="s">
        <v>344</v>
      </c>
      <c r="C107" s="207">
        <f>G81</f>
        <v>0</v>
      </c>
      <c r="D107" s="207">
        <f>H81</f>
        <v>3486933</v>
      </c>
      <c r="E107" s="207">
        <f>I81</f>
        <v>0</v>
      </c>
      <c r="G107" s="474"/>
      <c r="H107" s="206" t="s">
        <v>344</v>
      </c>
      <c r="I107" s="207">
        <f>J81</f>
        <v>0</v>
      </c>
      <c r="J107" s="207">
        <f>K81</f>
        <v>139477320</v>
      </c>
      <c r="K107" s="207">
        <f>L81</f>
        <v>0</v>
      </c>
      <c r="M107" s="474"/>
      <c r="N107" s="206" t="s">
        <v>344</v>
      </c>
      <c r="O107" s="207">
        <f>M81</f>
        <v>0</v>
      </c>
      <c r="P107" s="207">
        <f>N81</f>
        <v>0</v>
      </c>
      <c r="Q107" s="208">
        <f>O81</f>
        <v>0</v>
      </c>
    </row>
    <row r="108" spans="1:19" ht="14.4" thickBot="1" x14ac:dyDescent="0.3"/>
    <row r="109" spans="1:19" ht="14.4" thickBot="1" x14ac:dyDescent="0.3">
      <c r="A109" s="471" t="s">
        <v>84</v>
      </c>
      <c r="B109" s="472"/>
      <c r="C109" s="209">
        <f>SUM(C103:C107)</f>
        <v>0</v>
      </c>
      <c r="D109" s="209">
        <f>SUM(D103:D107)</f>
        <v>7776037.9333333336</v>
      </c>
      <c r="E109" s="210">
        <f>SUM(E103:E107)</f>
        <v>0</v>
      </c>
      <c r="G109" s="471" t="s">
        <v>84</v>
      </c>
      <c r="H109" s="472"/>
      <c r="I109" s="209">
        <f>SUM(I103:I107)</f>
        <v>0</v>
      </c>
      <c r="J109" s="209">
        <f>SUM(J103:J107)</f>
        <v>291029019</v>
      </c>
      <c r="K109" s="210">
        <f>SUM(K103:K107)</f>
        <v>0</v>
      </c>
      <c r="M109" s="471" t="s">
        <v>84</v>
      </c>
      <c r="N109" s="472"/>
      <c r="O109" s="209">
        <f>SUM(O103:O107)</f>
        <v>0</v>
      </c>
      <c r="P109" s="209">
        <f>SUM(P103:P107)</f>
        <v>0</v>
      </c>
      <c r="Q109" s="210">
        <f>SUM(Q103:Q107)</f>
        <v>0</v>
      </c>
    </row>
  </sheetData>
  <mergeCells count="52">
    <mergeCell ref="A106:A107"/>
    <mergeCell ref="G106:G107"/>
    <mergeCell ref="M106:M107"/>
    <mergeCell ref="A109:B109"/>
    <mergeCell ref="G109:H109"/>
    <mergeCell ref="M109:N109"/>
    <mergeCell ref="A11:B11"/>
    <mergeCell ref="A101:E101"/>
    <mergeCell ref="G101:K101"/>
    <mergeCell ref="M101:Q101"/>
    <mergeCell ref="A103:A105"/>
    <mergeCell ref="G103:G105"/>
    <mergeCell ref="M103:M105"/>
    <mergeCell ref="G41:I41"/>
    <mergeCell ref="J41:L41"/>
    <mergeCell ref="A12:B12"/>
    <mergeCell ref="A13:B13"/>
    <mergeCell ref="B17:F17"/>
    <mergeCell ref="G17:I17"/>
    <mergeCell ref="J17:L17"/>
    <mergeCell ref="K88:K90"/>
    <mergeCell ref="K91:K92"/>
    <mergeCell ref="A2:O2"/>
    <mergeCell ref="A5:B6"/>
    <mergeCell ref="C5:E5"/>
    <mergeCell ref="F5:H5"/>
    <mergeCell ref="I5:K5"/>
    <mergeCell ref="K94:L94"/>
    <mergeCell ref="A56:B56"/>
    <mergeCell ref="A57:B57"/>
    <mergeCell ref="B60:F60"/>
    <mergeCell ref="G60:I60"/>
    <mergeCell ref="J60:L60"/>
    <mergeCell ref="B72:F72"/>
    <mergeCell ref="G72:I72"/>
    <mergeCell ref="J72:L72"/>
    <mergeCell ref="W6:Y6"/>
    <mergeCell ref="S6:S7"/>
    <mergeCell ref="S5:Y5"/>
    <mergeCell ref="T6:V6"/>
    <mergeCell ref="A86:D86"/>
    <mergeCell ref="K86:O86"/>
    <mergeCell ref="A50:B51"/>
    <mergeCell ref="C50:E50"/>
    <mergeCell ref="F50:H50"/>
    <mergeCell ref="I50:K50"/>
    <mergeCell ref="L50:N50"/>
    <mergeCell ref="A55:B55"/>
    <mergeCell ref="B29:F29"/>
    <mergeCell ref="G29:I29"/>
    <mergeCell ref="J29:L29"/>
    <mergeCell ref="B41:F41"/>
  </mergeCells>
  <pageMargins left="0.75" right="0.75" top="1" bottom="1" header="0.5" footer="0.5"/>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E59E05-3526-46B0-8EDF-9AE249AF531D}">
  <sheetPr>
    <tabColor rgb="FF105BD8"/>
  </sheetPr>
  <dimension ref="A1:W160"/>
  <sheetViews>
    <sheetView showGridLines="0" zoomScale="85" zoomScaleNormal="85" workbookViewId="0">
      <selection activeCell="D39" sqref="D39"/>
    </sheetView>
  </sheetViews>
  <sheetFormatPr defaultColWidth="8.88671875" defaultRowHeight="13.8" x14ac:dyDescent="0.25"/>
  <cols>
    <col min="1" max="1" width="54.33203125" style="134" bestFit="1" customWidth="1"/>
    <col min="2" max="2" width="28" style="134" bestFit="1" customWidth="1"/>
    <col min="3" max="3" width="19.44140625" style="134" customWidth="1"/>
    <col min="4" max="4" width="16.5546875" style="134" bestFit="1" customWidth="1"/>
    <col min="5" max="5" width="16.21875" style="134" customWidth="1"/>
    <col min="6" max="6" width="11" style="134" customWidth="1"/>
    <col min="7" max="7" width="12.77734375" style="134" bestFit="1" customWidth="1"/>
    <col min="8" max="9" width="15.77734375" style="134" bestFit="1" customWidth="1"/>
    <col min="10" max="10" width="16.109375" style="134" customWidth="1"/>
    <col min="11" max="11" width="15.5546875" style="134" bestFit="1" customWidth="1"/>
    <col min="12" max="12" width="14" style="134" customWidth="1"/>
    <col min="13" max="13" width="18.5546875" style="134" customWidth="1"/>
    <col min="14" max="14" width="16.88671875" style="134" bestFit="1" customWidth="1"/>
    <col min="15" max="15" width="23.88671875" style="134" bestFit="1" customWidth="1"/>
    <col min="16" max="17" width="15.6640625" style="134" bestFit="1" customWidth="1"/>
    <col min="18" max="18" width="12.44140625" style="134" bestFit="1" customWidth="1"/>
    <col min="19" max="19" width="9.5546875" style="134" bestFit="1" customWidth="1"/>
    <col min="20" max="20" width="12.33203125" style="134" bestFit="1" customWidth="1"/>
    <col min="21" max="21" width="9.6640625" style="134" customWidth="1"/>
    <col min="22" max="22" width="9.5546875" style="134" bestFit="1" customWidth="1"/>
    <col min="23" max="23" width="11.21875" style="134" bestFit="1" customWidth="1"/>
    <col min="24" max="16384" width="8.88671875" style="134"/>
  </cols>
  <sheetData>
    <row r="1" spans="1:23" s="131" customFormat="1" x14ac:dyDescent="0.25">
      <c r="A1" s="137"/>
      <c r="B1" s="13"/>
      <c r="C1" s="137"/>
      <c r="D1" s="137"/>
      <c r="E1" s="137"/>
      <c r="F1" s="137"/>
      <c r="G1" s="138"/>
      <c r="H1" s="137"/>
      <c r="I1" s="137"/>
      <c r="J1" s="137"/>
      <c r="K1" s="137"/>
      <c r="M1" s="137"/>
      <c r="N1" s="137"/>
      <c r="O1" s="137"/>
      <c r="P1" s="137"/>
      <c r="Q1" s="137"/>
      <c r="R1" s="137"/>
    </row>
    <row r="2" spans="1:23" s="132" customFormat="1" ht="21" x14ac:dyDescent="0.4">
      <c r="A2" s="478" t="s">
        <v>541</v>
      </c>
      <c r="B2" s="478"/>
      <c r="C2" s="478"/>
      <c r="D2" s="478"/>
      <c r="E2" s="478"/>
      <c r="F2" s="478"/>
      <c r="G2" s="478"/>
      <c r="H2" s="478"/>
      <c r="I2" s="478"/>
      <c r="J2" s="478"/>
      <c r="K2" s="478"/>
      <c r="L2" s="478"/>
      <c r="M2" s="478"/>
      <c r="N2" s="478"/>
      <c r="O2" s="478"/>
    </row>
    <row r="3" spans="1:23" s="132" customFormat="1" x14ac:dyDescent="0.25">
      <c r="A3" s="443"/>
      <c r="B3" s="444"/>
      <c r="C3" s="445"/>
      <c r="G3" s="446"/>
    </row>
    <row r="4" spans="1:23" ht="16.2" thickBot="1" x14ac:dyDescent="0.35">
      <c r="A4" s="195" t="s">
        <v>327</v>
      </c>
    </row>
    <row r="5" spans="1:23" s="133" customFormat="1" ht="14.4" customHeight="1" x14ac:dyDescent="0.25">
      <c r="A5" s="480" t="s">
        <v>316</v>
      </c>
      <c r="B5" s="473"/>
      <c r="C5" s="473" t="s">
        <v>72</v>
      </c>
      <c r="D5" s="473"/>
      <c r="E5" s="473"/>
      <c r="F5" s="473" t="s">
        <v>73</v>
      </c>
      <c r="G5" s="473"/>
      <c r="H5" s="473"/>
      <c r="I5" s="473" t="s">
        <v>73</v>
      </c>
      <c r="J5" s="473"/>
      <c r="K5" s="479"/>
      <c r="M5" s="2"/>
      <c r="N5" s="385" t="s">
        <v>506</v>
      </c>
      <c r="O5" s="384" t="s">
        <v>348</v>
      </c>
      <c r="P5" s="2"/>
      <c r="Q5" s="2"/>
      <c r="S5" s="191"/>
    </row>
    <row r="6" spans="1:23" s="132" customFormat="1" x14ac:dyDescent="0.25">
      <c r="A6" s="481"/>
      <c r="B6" s="482"/>
      <c r="C6" s="382" t="s">
        <v>7</v>
      </c>
      <c r="D6" s="382" t="s">
        <v>76</v>
      </c>
      <c r="E6" s="382" t="s">
        <v>6</v>
      </c>
      <c r="F6" s="382" t="s">
        <v>7</v>
      </c>
      <c r="G6" s="382" t="s">
        <v>76</v>
      </c>
      <c r="H6" s="382" t="s">
        <v>6</v>
      </c>
      <c r="I6" s="382" t="s">
        <v>7</v>
      </c>
      <c r="J6" s="382" t="s">
        <v>76</v>
      </c>
      <c r="K6" s="141" t="s">
        <v>6</v>
      </c>
      <c r="M6" s="2"/>
      <c r="N6" s="365" t="s">
        <v>346</v>
      </c>
      <c r="O6" s="416">
        <f>Main!C12</f>
        <v>15</v>
      </c>
      <c r="P6" s="2"/>
      <c r="Q6" s="2"/>
      <c r="S6" s="191"/>
    </row>
    <row r="7" spans="1:23" ht="14.4" thickBot="1" x14ac:dyDescent="0.3">
      <c r="A7" s="21" t="s">
        <v>74</v>
      </c>
      <c r="B7" s="372" t="s">
        <v>75</v>
      </c>
      <c r="C7" s="15">
        <v>22</v>
      </c>
      <c r="D7" s="15">
        <v>24</v>
      </c>
      <c r="E7" s="15">
        <v>26</v>
      </c>
      <c r="F7" s="15">
        <v>49</v>
      </c>
      <c r="G7" s="15">
        <v>67</v>
      </c>
      <c r="H7" s="15">
        <v>85</v>
      </c>
      <c r="I7" s="139">
        <f>(F7-$B$26)/$B$26</f>
        <v>0</v>
      </c>
      <c r="J7" s="139">
        <f>(G7-$B$26)/$B$26</f>
        <v>0.36734693877551022</v>
      </c>
      <c r="K7" s="47">
        <f>(H7-$B$26)/$B$26</f>
        <v>0.73469387755102045</v>
      </c>
      <c r="M7" s="2"/>
      <c r="N7" s="366" t="s">
        <v>347</v>
      </c>
      <c r="O7" s="453">
        <f>Main!C13</f>
        <v>40</v>
      </c>
      <c r="P7" s="2"/>
      <c r="Q7" s="2"/>
      <c r="S7" s="191"/>
    </row>
    <row r="8" spans="1:23" x14ac:dyDescent="0.25">
      <c r="A8" s="21"/>
      <c r="B8" s="372" t="s">
        <v>77</v>
      </c>
      <c r="C8" s="15">
        <v>19</v>
      </c>
      <c r="D8" s="15">
        <v>21</v>
      </c>
      <c r="E8" s="15">
        <v>23</v>
      </c>
      <c r="F8" s="15">
        <v>49</v>
      </c>
      <c r="G8" s="15">
        <v>67</v>
      </c>
      <c r="H8" s="15">
        <v>85</v>
      </c>
      <c r="I8" s="139">
        <f>(F8-$B$38)/$B$38</f>
        <v>-0.22222222222222221</v>
      </c>
      <c r="J8" s="139">
        <f>(G8-$B$38)/$B$38</f>
        <v>6.3492063492063489E-2</v>
      </c>
      <c r="K8" s="47">
        <f>(H8-$B$38)/$B$38</f>
        <v>0.34920634920634919</v>
      </c>
      <c r="M8" s="2"/>
      <c r="N8" s="2"/>
      <c r="O8" s="2"/>
      <c r="P8" s="2"/>
      <c r="Q8" s="2"/>
      <c r="S8" s="191"/>
    </row>
    <row r="9" spans="1:23" x14ac:dyDescent="0.25">
      <c r="A9" s="21"/>
      <c r="B9" s="372" t="s">
        <v>318</v>
      </c>
      <c r="C9" s="15">
        <v>33</v>
      </c>
      <c r="D9" s="15">
        <v>39</v>
      </c>
      <c r="E9" s="15">
        <v>45</v>
      </c>
      <c r="F9" s="15">
        <v>20</v>
      </c>
      <c r="G9" s="15">
        <v>32</v>
      </c>
      <c r="H9" s="15">
        <v>45</v>
      </c>
      <c r="I9" s="139">
        <f>(F9-($B$45))/($B$45)</f>
        <v>9</v>
      </c>
      <c r="J9" s="139">
        <f>(G9-($B$45))/($B$45)</f>
        <v>15</v>
      </c>
      <c r="K9" s="47">
        <f>(H9-($B$45))/($B$45)</f>
        <v>21.5</v>
      </c>
      <c r="M9" s="2"/>
      <c r="N9" s="2"/>
      <c r="O9" s="2"/>
      <c r="P9" s="2"/>
      <c r="Q9" s="2"/>
      <c r="S9" s="191"/>
    </row>
    <row r="10" spans="1:23" x14ac:dyDescent="0.25">
      <c r="A10" s="371" t="s">
        <v>78</v>
      </c>
      <c r="B10" s="372"/>
      <c r="C10" s="15">
        <v>1</v>
      </c>
      <c r="D10" s="15">
        <v>8</v>
      </c>
      <c r="E10" s="15">
        <v>16</v>
      </c>
      <c r="F10" s="15">
        <v>1</v>
      </c>
      <c r="G10" s="15">
        <v>8</v>
      </c>
      <c r="H10" s="15">
        <v>16</v>
      </c>
      <c r="I10" s="169" t="s">
        <v>10</v>
      </c>
      <c r="J10" s="169" t="s">
        <v>10</v>
      </c>
      <c r="K10" s="188" t="s">
        <v>10</v>
      </c>
      <c r="M10" s="2"/>
      <c r="N10" s="2"/>
      <c r="O10" s="2"/>
      <c r="P10" s="2"/>
      <c r="Q10" s="2"/>
      <c r="S10" s="191"/>
    </row>
    <row r="11" spans="1:23" x14ac:dyDescent="0.25">
      <c r="A11" s="483" t="s">
        <v>79</v>
      </c>
      <c r="B11" s="484"/>
      <c r="C11" s="181">
        <v>702</v>
      </c>
      <c r="D11" s="181">
        <v>250000</v>
      </c>
      <c r="E11" s="181">
        <v>525600</v>
      </c>
      <c r="F11" s="181">
        <v>525600</v>
      </c>
      <c r="G11" s="181">
        <v>750000</v>
      </c>
      <c r="H11" s="181">
        <v>1000000</v>
      </c>
      <c r="I11" s="169" t="s">
        <v>10</v>
      </c>
      <c r="J11" s="169" t="s">
        <v>10</v>
      </c>
      <c r="K11" s="188" t="s">
        <v>10</v>
      </c>
      <c r="L11" s="174"/>
      <c r="M11" s="2"/>
      <c r="N11" s="2"/>
      <c r="O11" s="2"/>
      <c r="P11" s="2"/>
      <c r="Q11" s="2"/>
      <c r="S11" s="191"/>
    </row>
    <row r="12" spans="1:23" x14ac:dyDescent="0.25">
      <c r="A12" s="483" t="s">
        <v>321</v>
      </c>
      <c r="B12" s="484"/>
      <c r="C12" s="181">
        <f>C11/SUM(C7:C9)</f>
        <v>9.486486486486486</v>
      </c>
      <c r="D12" s="181">
        <f>D11/SUM(D7:D9)</f>
        <v>2976.1904761904761</v>
      </c>
      <c r="E12" s="181">
        <f>E11/SUM(E7:E9)</f>
        <v>5591.489361702128</v>
      </c>
      <c r="F12" s="181">
        <f>F11/(SUM(F7:F9))</f>
        <v>4454.2372881355932</v>
      </c>
      <c r="G12" s="181">
        <f>G11/(SUM(G7:G9))</f>
        <v>4518.0722891566265</v>
      </c>
      <c r="H12" s="181">
        <f>H11/(SUM(H7:H9))</f>
        <v>4651.1627906976746</v>
      </c>
      <c r="I12" s="169" t="s">
        <v>10</v>
      </c>
      <c r="J12" s="169" t="s">
        <v>10</v>
      </c>
      <c r="K12" s="188" t="s">
        <v>10</v>
      </c>
      <c r="M12" s="2"/>
      <c r="N12" s="2"/>
      <c r="O12" s="2"/>
      <c r="P12" s="2"/>
      <c r="Q12" s="2"/>
      <c r="S12" s="192"/>
    </row>
    <row r="13" spans="1:23" ht="14.4" thickBot="1" x14ac:dyDescent="0.3">
      <c r="A13" s="485" t="s">
        <v>322</v>
      </c>
      <c r="B13" s="486"/>
      <c r="C13" s="140">
        <f t="shared" ref="C13:H13" si="0">C11/(SUM(C7:C9)*C10)</f>
        <v>9.486486486486486</v>
      </c>
      <c r="D13" s="140">
        <f t="shared" si="0"/>
        <v>372.02380952380952</v>
      </c>
      <c r="E13" s="140">
        <f t="shared" si="0"/>
        <v>349.468085106383</v>
      </c>
      <c r="F13" s="140">
        <f t="shared" si="0"/>
        <v>4454.2372881355932</v>
      </c>
      <c r="G13" s="140">
        <f t="shared" si="0"/>
        <v>564.75903614457832</v>
      </c>
      <c r="H13" s="140">
        <f t="shared" si="0"/>
        <v>290.69767441860466</v>
      </c>
      <c r="I13" s="189" t="s">
        <v>10</v>
      </c>
      <c r="J13" s="189" t="s">
        <v>10</v>
      </c>
      <c r="K13" s="190" t="s">
        <v>10</v>
      </c>
      <c r="M13" s="2"/>
      <c r="N13" s="2"/>
      <c r="O13" s="2"/>
      <c r="P13" s="2"/>
      <c r="Q13" s="2"/>
      <c r="S13" s="192"/>
    </row>
    <row r="14" spans="1:23" x14ac:dyDescent="0.25">
      <c r="A14" s="179"/>
      <c r="B14" s="179"/>
      <c r="C14" s="180"/>
      <c r="D14" s="180"/>
      <c r="E14" s="180"/>
      <c r="F14" s="180"/>
      <c r="G14" s="180"/>
      <c r="H14" s="180"/>
      <c r="I14" s="180"/>
      <c r="J14" s="180"/>
      <c r="K14" s="180"/>
      <c r="M14" s="2"/>
      <c r="N14" s="2"/>
      <c r="O14" s="2"/>
      <c r="P14" s="2"/>
      <c r="Q14" s="2"/>
      <c r="S14" s="192"/>
    </row>
    <row r="15" spans="1:23" x14ac:dyDescent="0.25">
      <c r="B15" s="177"/>
      <c r="C15" s="174"/>
      <c r="D15" s="174"/>
      <c r="E15" s="174"/>
      <c r="F15" s="174"/>
      <c r="G15" s="174"/>
      <c r="H15" s="174"/>
      <c r="I15" s="178"/>
      <c r="M15" s="2"/>
      <c r="N15" s="2"/>
      <c r="O15" s="2"/>
      <c r="P15" s="2"/>
      <c r="Q15" s="2"/>
      <c r="S15" s="192"/>
    </row>
    <row r="16" spans="1:23" ht="16.2" thickBot="1" x14ac:dyDescent="0.35">
      <c r="A16" s="195" t="s">
        <v>328</v>
      </c>
      <c r="Q16" s="2"/>
      <c r="R16" s="2"/>
      <c r="S16" s="2"/>
      <c r="T16" s="2"/>
      <c r="U16" s="2"/>
      <c r="V16" s="2"/>
      <c r="W16" s="2"/>
    </row>
    <row r="17" spans="1:23" x14ac:dyDescent="0.25">
      <c r="A17" s="368" t="s">
        <v>91</v>
      </c>
      <c r="B17" s="473" t="s">
        <v>93</v>
      </c>
      <c r="C17" s="473"/>
      <c r="D17" s="473"/>
      <c r="E17" s="473"/>
      <c r="F17" s="473"/>
      <c r="G17" s="470" t="s">
        <v>323</v>
      </c>
      <c r="H17" s="470"/>
      <c r="I17" s="470"/>
      <c r="J17" s="470" t="s">
        <v>324</v>
      </c>
      <c r="K17" s="470"/>
      <c r="L17" s="470"/>
      <c r="M17" s="470" t="s">
        <v>326</v>
      </c>
      <c r="N17" s="470"/>
      <c r="O17" s="475"/>
      <c r="Q17" s="2"/>
      <c r="R17" s="2"/>
      <c r="S17" s="2"/>
      <c r="T17" s="2"/>
      <c r="U17" s="2"/>
      <c r="V17" s="2"/>
      <c r="W17" s="2"/>
    </row>
    <row r="18" spans="1:23" x14ac:dyDescent="0.25">
      <c r="A18" s="369" t="str">
        <f>Current!I1</f>
        <v>Use Case</v>
      </c>
      <c r="B18" s="370" t="str">
        <f>Current!J1</f>
        <v>Count</v>
      </c>
      <c r="C18" s="370" t="e">
        <f>Current!#REF!</f>
        <v>#REF!</v>
      </c>
      <c r="D18" s="370" t="s">
        <v>7</v>
      </c>
      <c r="E18" s="370" t="s">
        <v>76</v>
      </c>
      <c r="F18" s="370" t="s">
        <v>6</v>
      </c>
      <c r="G18" s="370" t="s">
        <v>7</v>
      </c>
      <c r="H18" s="370" t="s">
        <v>76</v>
      </c>
      <c r="I18" s="370" t="s">
        <v>6</v>
      </c>
      <c r="J18" s="370" t="s">
        <v>7</v>
      </c>
      <c r="K18" s="370" t="s">
        <v>76</v>
      </c>
      <c r="L18" s="370" t="s">
        <v>6</v>
      </c>
      <c r="M18" s="370" t="s">
        <v>7</v>
      </c>
      <c r="N18" s="370" t="s">
        <v>76</v>
      </c>
      <c r="O18" s="186" t="s">
        <v>6</v>
      </c>
      <c r="Q18" s="2"/>
      <c r="R18" s="2"/>
      <c r="S18" s="2"/>
      <c r="T18" s="2"/>
      <c r="U18" s="2"/>
      <c r="V18" s="2"/>
      <c r="W18" s="2"/>
    </row>
    <row r="19" spans="1:23" x14ac:dyDescent="0.25">
      <c r="A19" s="369" t="str">
        <f>Current!I2</f>
        <v>Human Space Flight</v>
      </c>
      <c r="B19" s="157">
        <f>Current!J2</f>
        <v>2</v>
      </c>
      <c r="C19" s="139">
        <f t="shared" ref="C19:C25" si="1">B19/$B$26</f>
        <v>4.0816326530612242E-2</v>
      </c>
      <c r="D19" s="166">
        <f t="shared" ref="D19:F22" si="2">ROUND($B19*(1+I$7),0)</f>
        <v>2</v>
      </c>
      <c r="E19" s="166">
        <f t="shared" si="2"/>
        <v>3</v>
      </c>
      <c r="F19" s="166">
        <f t="shared" si="2"/>
        <v>3</v>
      </c>
      <c r="G19" s="182">
        <f>D19*Current!$L$13</f>
        <v>32673.466666666667</v>
      </c>
      <c r="H19" s="182">
        <f>E19*Current!$L$13</f>
        <v>49010.2</v>
      </c>
      <c r="I19" s="182">
        <f>F19*Current!$L$13</f>
        <v>49010.2</v>
      </c>
      <c r="J19" s="182">
        <f>G19*$O$6</f>
        <v>490102</v>
      </c>
      <c r="K19" s="182">
        <f t="shared" ref="K19:L19" si="3">H19*$O$6</f>
        <v>735153</v>
      </c>
      <c r="L19" s="182">
        <f t="shared" si="3"/>
        <v>735153</v>
      </c>
      <c r="M19" s="182">
        <f>J19+(J19/POWER(1+(Future_Cost!$B$96/100),1))+(J19/POWER(1+(Future_Cost!$B$96/100),2))+(J19/POWER(1+(Future_Cost!$B$96/100),3))+(J19/POWER(1+(Future_Cost!$B$96/100),4))</f>
        <v>2311859.361414168</v>
      </c>
      <c r="N19" s="182">
        <f>K19+(K19/POWER(1+(Future_Cost!$B$96/100),1))+(K19/POWER(1+(Future_Cost!$B$96/100),2))+(K19/POWER(1+(Future_Cost!$B$96/100),3))+(K19/POWER(1+(Future_Cost!$B$96/100),4))</f>
        <v>3467789.042121252</v>
      </c>
      <c r="O19" s="183">
        <f>L19+(L19/POWER(1+(Future_Cost!$B$96/100),1))+(L19/POWER(1+(Future_Cost!$B$96/100),2))+(L19/POWER(1+(Future_Cost!$B$96/100),3))+(L19/POWER(1+(Future_Cost!$B$96/100),4))</f>
        <v>3467789.042121252</v>
      </c>
      <c r="S19" s="135"/>
    </row>
    <row r="20" spans="1:23" x14ac:dyDescent="0.25">
      <c r="A20" s="369" t="str">
        <f>Current!I3</f>
        <v>Near Earth Robotic - LEO Science</v>
      </c>
      <c r="B20" s="157">
        <f>Current!J3</f>
        <v>32</v>
      </c>
      <c r="C20" s="139">
        <f t="shared" si="1"/>
        <v>0.65306122448979587</v>
      </c>
      <c r="D20" s="166">
        <f t="shared" si="2"/>
        <v>32</v>
      </c>
      <c r="E20" s="166">
        <f t="shared" si="2"/>
        <v>44</v>
      </c>
      <c r="F20" s="166">
        <f t="shared" si="2"/>
        <v>56</v>
      </c>
      <c r="G20" s="182">
        <f>D20*Current!$L$13</f>
        <v>522775.46666666667</v>
      </c>
      <c r="H20" s="182">
        <f>E20*Current!$L$13</f>
        <v>718816.26666666672</v>
      </c>
      <c r="I20" s="182">
        <f>F20*Current!$L$13</f>
        <v>914857.06666666665</v>
      </c>
      <c r="J20" s="182">
        <f t="shared" ref="J20:J25" si="4">G20*$O$6</f>
        <v>7841632</v>
      </c>
      <c r="K20" s="182">
        <f t="shared" ref="K20:K25" si="5">H20*$O$6</f>
        <v>10782244</v>
      </c>
      <c r="L20" s="182">
        <f t="shared" ref="L20:L25" si="6">I20*$O$6</f>
        <v>13722856</v>
      </c>
      <c r="M20" s="182">
        <f>J20+(J20/POWER(1+(Future_Cost!$B$96/100),1))+(J20/POWER(1+(Future_Cost!$B$96/100),2))+(J20/POWER(1+(Future_Cost!$B$96/100),3))+(J20/POWER(1+(Future_Cost!$B$96/100),4))</f>
        <v>36989749.782626688</v>
      </c>
      <c r="N20" s="182">
        <f>K20+(K20/POWER(1+(Future_Cost!$B$96/100),1))+(K20/POWER(1+(Future_Cost!$B$96/100),2))+(K20/POWER(1+(Future_Cost!$B$96/100),3))+(K20/POWER(1+(Future_Cost!$B$96/100),4))</f>
        <v>50860905.951111697</v>
      </c>
      <c r="O20" s="183">
        <f>L20+(L20/POWER(1+(Future_Cost!$B$96/100),1))+(L20/POWER(1+(Future_Cost!$B$96/100),2))+(L20/POWER(1+(Future_Cost!$B$96/100),3))+(L20/POWER(1+(Future_Cost!$B$96/100),4))</f>
        <v>64732062.119596705</v>
      </c>
      <c r="S20" s="135"/>
    </row>
    <row r="21" spans="1:23" x14ac:dyDescent="0.25">
      <c r="A21" s="369" t="str">
        <f>Current!I4</f>
        <v>Near Earth Robotic - GEO and Near Earth</v>
      </c>
      <c r="B21" s="157">
        <f>Current!J4</f>
        <v>15</v>
      </c>
      <c r="C21" s="139">
        <f t="shared" si="1"/>
        <v>0.30612244897959184</v>
      </c>
      <c r="D21" s="166">
        <f t="shared" si="2"/>
        <v>15</v>
      </c>
      <c r="E21" s="166">
        <f t="shared" si="2"/>
        <v>21</v>
      </c>
      <c r="F21" s="166">
        <f t="shared" si="2"/>
        <v>26</v>
      </c>
      <c r="G21" s="182">
        <f>D21*Current!$L$13</f>
        <v>245051</v>
      </c>
      <c r="H21" s="182">
        <f>E21*Current!$L$13</f>
        <v>343071.4</v>
      </c>
      <c r="I21" s="182">
        <f>F21*Current!$L$13</f>
        <v>424755.06666666665</v>
      </c>
      <c r="J21" s="182">
        <f t="shared" si="4"/>
        <v>3675765</v>
      </c>
      <c r="K21" s="182">
        <f t="shared" si="5"/>
        <v>5146071</v>
      </c>
      <c r="L21" s="182">
        <f t="shared" si="6"/>
        <v>6371326</v>
      </c>
      <c r="M21" s="182">
        <f>J21+(J21/POWER(1+(Future_Cost!$B$96/100),1))+(J21/POWER(1+(Future_Cost!$B$96/100),2))+(J21/POWER(1+(Future_Cost!$B$96/100),3))+(J21/POWER(1+(Future_Cost!$B$96/100),4))</f>
        <v>17338945.210606262</v>
      </c>
      <c r="N21" s="182">
        <f>K21+(K21/POWER(1+(Future_Cost!$B$96/100),1))+(K21/POWER(1+(Future_Cost!$B$96/100),2))+(K21/POWER(1+(Future_Cost!$B$96/100),3))+(K21/POWER(1+(Future_Cost!$B$96/100),4))</f>
        <v>24274523.294848762</v>
      </c>
      <c r="O21" s="183">
        <f>L21+(L21/POWER(1+(Future_Cost!$B$96/100),1))+(L21/POWER(1+(Future_Cost!$B$96/100),2))+(L21/POWER(1+(Future_Cost!$B$96/100),3))+(L21/POWER(1+(Future_Cost!$B$96/100),4))</f>
        <v>30054171.698384184</v>
      </c>
      <c r="S21" s="135"/>
    </row>
    <row r="22" spans="1:23" x14ac:dyDescent="0.25">
      <c r="A22" s="369" t="str">
        <f>Current!I5</f>
        <v>Deep Space Robotic</v>
      </c>
      <c r="B22" s="157">
        <f>Current!J5</f>
        <v>0</v>
      </c>
      <c r="C22" s="139">
        <f t="shared" si="1"/>
        <v>0</v>
      </c>
      <c r="D22" s="166">
        <f t="shared" si="2"/>
        <v>0</v>
      </c>
      <c r="E22" s="166">
        <f t="shared" si="2"/>
        <v>0</v>
      </c>
      <c r="F22" s="166">
        <f t="shared" si="2"/>
        <v>0</v>
      </c>
      <c r="G22" s="182">
        <f>D22*Current!$L$13</f>
        <v>0</v>
      </c>
      <c r="H22" s="182">
        <f>E22*Current!$L$13</f>
        <v>0</v>
      </c>
      <c r="I22" s="182">
        <f>F22*Current!$L$13</f>
        <v>0</v>
      </c>
      <c r="J22" s="182">
        <f t="shared" si="4"/>
        <v>0</v>
      </c>
      <c r="K22" s="182">
        <f t="shared" si="5"/>
        <v>0</v>
      </c>
      <c r="L22" s="182">
        <f t="shared" si="6"/>
        <v>0</v>
      </c>
      <c r="M22" s="182">
        <f>J22+(J22/POWER(1+(Future_Cost!$B$96/100),1))+(J22/POWER(1+(Future_Cost!$B$96/100),2))+(J22/POWER(1+(Future_Cost!$B$96/100),3))+(J22/POWER(1+(Future_Cost!$B$96/100),4))</f>
        <v>0</v>
      </c>
      <c r="N22" s="182">
        <f>K22+(K22/POWER(1+(Future_Cost!$B$96/100),1))+(K22/POWER(1+(Future_Cost!$B$96/100),2))+(K22/POWER(1+(Future_Cost!$B$96/100),3))+(K22/POWER(1+(Future_Cost!$B$96/100),4))</f>
        <v>0</v>
      </c>
      <c r="O22" s="183">
        <f>L22+(L22/POWER(1+(Future_Cost!$B$96/100),1))+(L22/POWER(1+(Future_Cost!$B$96/100),2))+(L22/POWER(1+(Future_Cost!$B$96/100),3))+(L22/POWER(1+(Future_Cost!$B$96/100),4))</f>
        <v>0</v>
      </c>
      <c r="S22" s="135"/>
    </row>
    <row r="23" spans="1:23" x14ac:dyDescent="0.25">
      <c r="A23" s="369" t="str">
        <f>Current!I6</f>
        <v>Near Earth Robotic - Low Latency &amp; Complex Needs</v>
      </c>
      <c r="B23" s="157">
        <f>Current!J6</f>
        <v>0</v>
      </c>
      <c r="C23" s="139">
        <f t="shared" si="1"/>
        <v>0</v>
      </c>
      <c r="D23" s="166">
        <f t="shared" ref="D23:E25" si="7">ROUND($B23*(1+I$7),0)</f>
        <v>0</v>
      </c>
      <c r="E23" s="166">
        <f t="shared" si="7"/>
        <v>0</v>
      </c>
      <c r="F23" s="166">
        <f>ROUNDUP($B23*(1+K$7),0)</f>
        <v>0</v>
      </c>
      <c r="G23" s="182">
        <f>D23*Current!$L$13</f>
        <v>0</v>
      </c>
      <c r="H23" s="182">
        <f>E23*Current!$L$13</f>
        <v>0</v>
      </c>
      <c r="I23" s="182">
        <f>F23*Current!$L$13</f>
        <v>0</v>
      </c>
      <c r="J23" s="182">
        <f t="shared" si="4"/>
        <v>0</v>
      </c>
      <c r="K23" s="182">
        <f t="shared" si="5"/>
        <v>0</v>
      </c>
      <c r="L23" s="182">
        <f t="shared" si="6"/>
        <v>0</v>
      </c>
      <c r="M23" s="182">
        <f>J23+(J23/POWER(1+(Future_Cost!$B$96/100),1))+(J23/POWER(1+(Future_Cost!$B$96/100),2))+(J23/POWER(1+(Future_Cost!$B$96/100),3))+(J23/POWER(1+(Future_Cost!$B$96/100),4))</f>
        <v>0</v>
      </c>
      <c r="N23" s="182">
        <f>K23+(K23/POWER(1+(Future_Cost!$B$96/100),1))+(K23/POWER(1+(Future_Cost!$B$96/100),2))+(K23/POWER(1+(Future_Cost!$B$96/100),3))+(K23/POWER(1+(Future_Cost!$B$96/100),4))</f>
        <v>0</v>
      </c>
      <c r="O23" s="183">
        <f>L23+(L23/POWER(1+(Future_Cost!$B$96/100),1))+(L23/POWER(1+(Future_Cost!$B$96/100),2))+(L23/POWER(1+(Future_Cost!$B$96/100),3))+(L23/POWER(1+(Future_Cost!$B$96/100),4))</f>
        <v>0</v>
      </c>
      <c r="S23" s="135"/>
    </row>
    <row r="24" spans="1:23" x14ac:dyDescent="0.25">
      <c r="A24" s="369" t="str">
        <f>Current!I7</f>
        <v>Mission Operations</v>
      </c>
      <c r="B24" s="157">
        <f>Current!J7</f>
        <v>0</v>
      </c>
      <c r="C24" s="139">
        <f t="shared" si="1"/>
        <v>0</v>
      </c>
      <c r="D24" s="166">
        <f t="shared" si="7"/>
        <v>0</v>
      </c>
      <c r="E24" s="166">
        <f t="shared" si="7"/>
        <v>0</v>
      </c>
      <c r="F24" s="166">
        <f>ROUND($B24*(1+K$7),0)</f>
        <v>0</v>
      </c>
      <c r="G24" s="182">
        <f>D24*Current!$L$13</f>
        <v>0</v>
      </c>
      <c r="H24" s="182">
        <f>E24*Current!$L$13</f>
        <v>0</v>
      </c>
      <c r="I24" s="182">
        <f>F24*Current!$L$13</f>
        <v>0</v>
      </c>
      <c r="J24" s="182">
        <f t="shared" si="4"/>
        <v>0</v>
      </c>
      <c r="K24" s="182">
        <f t="shared" si="5"/>
        <v>0</v>
      </c>
      <c r="L24" s="182">
        <f t="shared" si="6"/>
        <v>0</v>
      </c>
      <c r="M24" s="182">
        <f>J24+(J24/POWER(1+(Future_Cost!$B$96/100),1))+(J24/POWER(1+(Future_Cost!$B$96/100),2))+(J24/POWER(1+(Future_Cost!$B$96/100),3))+(J24/POWER(1+(Future_Cost!$B$96/100),4))</f>
        <v>0</v>
      </c>
      <c r="N24" s="182">
        <f>K24+(K24/POWER(1+(Future_Cost!$B$96/100),1))+(K24/POWER(1+(Future_Cost!$B$96/100),2))+(K24/POWER(1+(Future_Cost!$B$96/100),3))+(K24/POWER(1+(Future_Cost!$B$96/100),4))</f>
        <v>0</v>
      </c>
      <c r="O24" s="183">
        <f>L24+(L24/POWER(1+(Future_Cost!$B$96/100),1))+(L24/POWER(1+(Future_Cost!$B$96/100),2))+(L24/POWER(1+(Future_Cost!$B$96/100),3))+(L24/POWER(1+(Future_Cost!$B$96/100),4))</f>
        <v>0</v>
      </c>
      <c r="S24" s="135"/>
    </row>
    <row r="25" spans="1:23" x14ac:dyDescent="0.25">
      <c r="A25" s="369" t="str">
        <f>Current!I9</f>
        <v>Terrestrial &amp; Aerial</v>
      </c>
      <c r="B25" s="157">
        <f>Current!J9</f>
        <v>0</v>
      </c>
      <c r="C25" s="139">
        <f t="shared" si="1"/>
        <v>0</v>
      </c>
      <c r="D25" s="166">
        <f t="shared" si="7"/>
        <v>0</v>
      </c>
      <c r="E25" s="166">
        <f t="shared" si="7"/>
        <v>0</v>
      </c>
      <c r="F25" s="166">
        <f>ROUND($B25*(1+K$7),0)</f>
        <v>0</v>
      </c>
      <c r="G25" s="182">
        <f>D25*Current!$L$13</f>
        <v>0</v>
      </c>
      <c r="H25" s="182">
        <f>E25*Current!$L$13</f>
        <v>0</v>
      </c>
      <c r="I25" s="182">
        <f>F25*Current!$L$13</f>
        <v>0</v>
      </c>
      <c r="J25" s="182">
        <f t="shared" si="4"/>
        <v>0</v>
      </c>
      <c r="K25" s="182">
        <f t="shared" si="5"/>
        <v>0</v>
      </c>
      <c r="L25" s="182">
        <f t="shared" si="6"/>
        <v>0</v>
      </c>
      <c r="M25" s="182">
        <f>J25+(J25/POWER(1+(Future_Cost!$B$96/100),1))+(J25/POWER(1+(Future_Cost!$B$96/100),2))+(J25/POWER(1+(Future_Cost!$B$96/100),3))+(J25/POWER(1+(Future_Cost!$B$96/100),4))</f>
        <v>0</v>
      </c>
      <c r="N25" s="182">
        <f>K25+(K25/POWER(1+(Future_Cost!$B$96/100),1))+(K25/POWER(1+(Future_Cost!$B$96/100),2))+(K25/POWER(1+(Future_Cost!$B$96/100),3))+(K25/POWER(1+(Future_Cost!$B$96/100),4))</f>
        <v>0</v>
      </c>
      <c r="O25" s="183">
        <f>L25+(L25/POWER(1+(Future_Cost!$B$96/100),1))+(L25/POWER(1+(Future_Cost!$B$96/100),2))+(L25/POWER(1+(Future_Cost!$B$96/100),3))+(L25/POWER(1+(Future_Cost!$B$96/100),4))</f>
        <v>0</v>
      </c>
    </row>
    <row r="26" spans="1:23" ht="14.4" customHeight="1" thickBot="1" x14ac:dyDescent="0.3">
      <c r="A26" s="383" t="s">
        <v>319</v>
      </c>
      <c r="B26" s="155">
        <f>SUM(B19:B24,B25)</f>
        <v>49</v>
      </c>
      <c r="C26" s="456">
        <f t="shared" ref="C26:O26" si="8">SUM(C19:C25)</f>
        <v>1</v>
      </c>
      <c r="D26" s="167">
        <f t="shared" si="8"/>
        <v>49</v>
      </c>
      <c r="E26" s="167">
        <f t="shared" si="8"/>
        <v>68</v>
      </c>
      <c r="F26" s="167">
        <f t="shared" si="8"/>
        <v>85</v>
      </c>
      <c r="G26" s="167">
        <f t="shared" si="8"/>
        <v>800499.93333333335</v>
      </c>
      <c r="H26" s="167">
        <f t="shared" si="8"/>
        <v>1110897.8666666667</v>
      </c>
      <c r="I26" s="167">
        <f t="shared" si="8"/>
        <v>1388622.3333333333</v>
      </c>
      <c r="J26" s="167">
        <f t="shared" si="8"/>
        <v>12007499</v>
      </c>
      <c r="K26" s="167">
        <f t="shared" si="8"/>
        <v>16663468</v>
      </c>
      <c r="L26" s="167">
        <f t="shared" si="8"/>
        <v>20829335</v>
      </c>
      <c r="M26" s="167">
        <f t="shared" si="8"/>
        <v>56640554.354647115</v>
      </c>
      <c r="N26" s="167">
        <f t="shared" si="8"/>
        <v>78603218.288081706</v>
      </c>
      <c r="O26" s="168">
        <f t="shared" si="8"/>
        <v>98254022.860102132</v>
      </c>
    </row>
    <row r="28" spans="1:23" ht="14.4" customHeight="1" thickBot="1" x14ac:dyDescent="0.35">
      <c r="A28" s="195" t="s">
        <v>329</v>
      </c>
    </row>
    <row r="29" spans="1:23" x14ac:dyDescent="0.25">
      <c r="A29" s="368" t="s">
        <v>91</v>
      </c>
      <c r="B29" s="473" t="s">
        <v>313</v>
      </c>
      <c r="C29" s="473"/>
      <c r="D29" s="473"/>
      <c r="E29" s="473"/>
      <c r="F29" s="473"/>
      <c r="G29" s="470" t="s">
        <v>323</v>
      </c>
      <c r="H29" s="470"/>
      <c r="I29" s="470"/>
      <c r="J29" s="470" t="s">
        <v>325</v>
      </c>
      <c r="K29" s="470"/>
      <c r="L29" s="470"/>
      <c r="M29" s="470" t="s">
        <v>326</v>
      </c>
      <c r="N29" s="470"/>
      <c r="O29" s="475"/>
    </row>
    <row r="30" spans="1:23" x14ac:dyDescent="0.25">
      <c r="A30" s="160" t="str">
        <f>Current!V1</f>
        <v>Use Case</v>
      </c>
      <c r="B30" s="370" t="str">
        <f>Current!W1</f>
        <v>Count</v>
      </c>
      <c r="C30" s="370" t="str">
        <f>Current!X1</f>
        <v>Share</v>
      </c>
      <c r="D30" s="370" t="s">
        <v>7</v>
      </c>
      <c r="E30" s="370" t="s">
        <v>76</v>
      </c>
      <c r="F30" s="370" t="s">
        <v>6</v>
      </c>
      <c r="G30" s="370" t="s">
        <v>7</v>
      </c>
      <c r="H30" s="370" t="s">
        <v>76</v>
      </c>
      <c r="I30" s="370" t="s">
        <v>6</v>
      </c>
      <c r="J30" s="370" t="s">
        <v>7</v>
      </c>
      <c r="K30" s="370" t="s">
        <v>76</v>
      </c>
      <c r="L30" s="370" t="s">
        <v>6</v>
      </c>
      <c r="M30" s="370" t="s">
        <v>7</v>
      </c>
      <c r="N30" s="370" t="s">
        <v>76</v>
      </c>
      <c r="O30" s="186" t="s">
        <v>6</v>
      </c>
    </row>
    <row r="31" spans="1:23" x14ac:dyDescent="0.25">
      <c r="A31" s="160" t="str">
        <f>Current!V2</f>
        <v>Human Space Flight</v>
      </c>
      <c r="B31" s="157">
        <f>Current!W2</f>
        <v>16</v>
      </c>
      <c r="C31" s="139">
        <f t="shared" ref="C31:C37" si="9">B31/$B$38</f>
        <v>0.25396825396825395</v>
      </c>
      <c r="D31" s="166">
        <f t="shared" ref="D31:F37" si="10">ROUND($B31*(1+I$8),0)</f>
        <v>12</v>
      </c>
      <c r="E31" s="166">
        <f t="shared" si="10"/>
        <v>17</v>
      </c>
      <c r="F31" s="166">
        <f t="shared" si="10"/>
        <v>22</v>
      </c>
      <c r="G31" s="182">
        <f>D31*Current!$Y$13</f>
        <v>1288100.3076923077</v>
      </c>
      <c r="H31" s="182">
        <f>E31*Current!$Y$13</f>
        <v>1824808.7692307692</v>
      </c>
      <c r="I31" s="182">
        <f>F31*Current!$Y$13</f>
        <v>2361517.230769231</v>
      </c>
      <c r="J31" s="182">
        <f>G31*$O$7</f>
        <v>51524012.307692312</v>
      </c>
      <c r="K31" s="182">
        <f t="shared" ref="K31:L31" si="11">H31*$O$7</f>
        <v>72992350.769230768</v>
      </c>
      <c r="L31" s="182">
        <f t="shared" si="11"/>
        <v>94460689.230769247</v>
      </c>
      <c r="M31" s="182">
        <f>J31+(J31/POWER(1+(Future_Cost!$B$96/100),1))+(J31/POWER(1+(Future_Cost!$B$96/100),2))+(J31/POWER(1+(Future_Cost!$B$96/100),3))+(J31/POWER(1+(Future_Cost!$B$96/100),4))</f>
        <v>243043836.16299725</v>
      </c>
      <c r="N31" s="182">
        <f>K31+(K31/POWER(1+(Future_Cost!$B$96/100),1))+(K31/POWER(1+(Future_Cost!$B$96/100),2))+(K31/POWER(1+(Future_Cost!$B$96/100),3))+(K31/POWER(1+(Future_Cost!$B$96/100),4))</f>
        <v>344312101.23091274</v>
      </c>
      <c r="O31" s="183">
        <f>L31+(L31/POWER(1+(Future_Cost!$B$96/100),1))+(L31/POWER(1+(Future_Cost!$B$96/100),2))+(L31/POWER(1+(Future_Cost!$B$96/100),3))+(L31/POWER(1+(Future_Cost!$B$96/100),4))</f>
        <v>445580366.29882836</v>
      </c>
    </row>
    <row r="32" spans="1:23" x14ac:dyDescent="0.25">
      <c r="A32" s="160" t="str">
        <f>Current!V3</f>
        <v>Near Earth Robotic - LEO Science</v>
      </c>
      <c r="B32" s="157">
        <f>Current!W3</f>
        <v>25</v>
      </c>
      <c r="C32" s="139">
        <f t="shared" si="9"/>
        <v>0.3968253968253968</v>
      </c>
      <c r="D32" s="166">
        <f t="shared" si="10"/>
        <v>19</v>
      </c>
      <c r="E32" s="166">
        <f t="shared" si="10"/>
        <v>27</v>
      </c>
      <c r="F32" s="166">
        <f t="shared" si="10"/>
        <v>34</v>
      </c>
      <c r="G32" s="182">
        <f>D32*Current!$Y$13</f>
        <v>2039492.153846154</v>
      </c>
      <c r="H32" s="182">
        <f>E32*Current!$Y$13</f>
        <v>2898225.6923076925</v>
      </c>
      <c r="I32" s="182">
        <f>F32*Current!$Y$13</f>
        <v>3649617.5384615385</v>
      </c>
      <c r="J32" s="182">
        <f t="shared" ref="J32:J37" si="12">G32*$O$7</f>
        <v>81579686.15384616</v>
      </c>
      <c r="K32" s="182">
        <f t="shared" ref="K32:K37" si="13">H32*$O$7</f>
        <v>115929027.6923077</v>
      </c>
      <c r="L32" s="182">
        <f t="shared" ref="L32:L37" si="14">I32*$O$7</f>
        <v>145984701.53846154</v>
      </c>
      <c r="M32" s="182">
        <f>J32+(J32/POWER(1+(Future_Cost!$B$96/100),1))+(J32/POWER(1+(Future_Cost!$B$96/100),2))+(J32/POWER(1+(Future_Cost!$B$96/100),3))+(J32/POWER(1+(Future_Cost!$B$96/100),4))</f>
        <v>384819407.25807893</v>
      </c>
      <c r="N32" s="182">
        <f>K32+(K32/POWER(1+(Future_Cost!$B$96/100),1))+(K32/POWER(1+(Future_Cost!$B$96/100),2))+(K32/POWER(1+(Future_Cost!$B$96/100),3))+(K32/POWER(1+(Future_Cost!$B$96/100),4))</f>
        <v>546848631.3667438</v>
      </c>
      <c r="O32" s="183">
        <f>L32+(L32/POWER(1+(Future_Cost!$B$96/100),1))+(L32/POWER(1+(Future_Cost!$B$96/100),2))+(L32/POWER(1+(Future_Cost!$B$96/100),3))+(L32/POWER(1+(Future_Cost!$B$96/100),4))</f>
        <v>688624202.46182549</v>
      </c>
    </row>
    <row r="33" spans="1:15" x14ac:dyDescent="0.25">
      <c r="A33" s="160" t="str">
        <f>Current!V4</f>
        <v>Near Earth Robotic - GEO and Near Earth</v>
      </c>
      <c r="B33" s="157">
        <f>Current!W4</f>
        <v>4</v>
      </c>
      <c r="C33" s="139">
        <f t="shared" si="9"/>
        <v>6.3492063492063489E-2</v>
      </c>
      <c r="D33" s="166">
        <f t="shared" si="10"/>
        <v>3</v>
      </c>
      <c r="E33" s="166">
        <f t="shared" si="10"/>
        <v>4</v>
      </c>
      <c r="F33" s="166">
        <f t="shared" si="10"/>
        <v>5</v>
      </c>
      <c r="G33" s="182">
        <f>D33*Current!$Y$13</f>
        <v>322025.07692307694</v>
      </c>
      <c r="H33" s="182">
        <f>E33*Current!$Y$13</f>
        <v>429366.76923076925</v>
      </c>
      <c r="I33" s="182">
        <f>F33*Current!$Y$13</f>
        <v>536708.4615384615</v>
      </c>
      <c r="J33" s="182">
        <f t="shared" si="12"/>
        <v>12881003.076923078</v>
      </c>
      <c r="K33" s="182">
        <f t="shared" si="13"/>
        <v>17174670.769230768</v>
      </c>
      <c r="L33" s="182">
        <f t="shared" si="14"/>
        <v>21468338.46153846</v>
      </c>
      <c r="M33" s="182">
        <f>J33+(J33/POWER(1+(Future_Cost!$B$96/100),1))+(J33/POWER(1+(Future_Cost!$B$96/100),2))+(J33/POWER(1+(Future_Cost!$B$96/100),3))+(J33/POWER(1+(Future_Cost!$B$96/100),4))</f>
        <v>60760959.040749311</v>
      </c>
      <c r="N33" s="182">
        <f>K33+(K33/POWER(1+(Future_Cost!$B$96/100),1))+(K33/POWER(1+(Future_Cost!$B$96/100),2))+(K33/POWER(1+(Future_Cost!$B$96/100),3))+(K33/POWER(1+(Future_Cost!$B$96/100),4))</f>
        <v>81014612.054332405</v>
      </c>
      <c r="O33" s="183">
        <f>L33+(L33/POWER(1+(Future_Cost!$B$96/100),1))+(L33/POWER(1+(Future_Cost!$B$96/100),2))+(L33/POWER(1+(Future_Cost!$B$96/100),3))+(L33/POWER(1+(Future_Cost!$B$96/100),4))</f>
        <v>101268265.0679155</v>
      </c>
    </row>
    <row r="34" spans="1:15" x14ac:dyDescent="0.25">
      <c r="A34" s="160" t="str">
        <f>Current!V5</f>
        <v>Deep Space Robotic</v>
      </c>
      <c r="B34" s="157">
        <f>Current!W5</f>
        <v>1</v>
      </c>
      <c r="C34" s="139">
        <f t="shared" si="9"/>
        <v>1.5873015873015872E-2</v>
      </c>
      <c r="D34" s="166">
        <f t="shared" si="10"/>
        <v>1</v>
      </c>
      <c r="E34" s="166">
        <f t="shared" si="10"/>
        <v>1</v>
      </c>
      <c r="F34" s="166">
        <f t="shared" si="10"/>
        <v>1</v>
      </c>
      <c r="G34" s="182">
        <f>D34*Current!$Y$13</f>
        <v>107341.69230769231</v>
      </c>
      <c r="H34" s="182">
        <f>E34*Current!$Y$13</f>
        <v>107341.69230769231</v>
      </c>
      <c r="I34" s="182">
        <f>F34*Current!$Y$13</f>
        <v>107341.69230769231</v>
      </c>
      <c r="J34" s="182">
        <f t="shared" si="12"/>
        <v>4293667.692307692</v>
      </c>
      <c r="K34" s="182">
        <f t="shared" si="13"/>
        <v>4293667.692307692</v>
      </c>
      <c r="L34" s="182">
        <f t="shared" si="14"/>
        <v>4293667.692307692</v>
      </c>
      <c r="M34" s="182">
        <f>J34+(J34/POWER(1+(Future_Cost!$B$96/100),1))+(J34/POWER(1+(Future_Cost!$B$96/100),2))+(J34/POWER(1+(Future_Cost!$B$96/100),3))+(J34/POWER(1+(Future_Cost!$B$96/100),4))</f>
        <v>20253653.013583101</v>
      </c>
      <c r="N34" s="182">
        <f>K34+(K34/POWER(1+(Future_Cost!$B$96/100),1))+(K34/POWER(1+(Future_Cost!$B$96/100),2))+(K34/POWER(1+(Future_Cost!$B$96/100),3))+(K34/POWER(1+(Future_Cost!$B$96/100),4))</f>
        <v>20253653.013583101</v>
      </c>
      <c r="O34" s="183">
        <f>L34+(L34/POWER(1+(Future_Cost!$B$96/100),1))+(L34/POWER(1+(Future_Cost!$B$96/100),2))+(L34/POWER(1+(Future_Cost!$B$96/100),3))+(L34/POWER(1+(Future_Cost!$B$96/100),4))</f>
        <v>20253653.013583101</v>
      </c>
    </row>
    <row r="35" spans="1:15" x14ac:dyDescent="0.25">
      <c r="A35" s="160" t="str">
        <f>Current!V6</f>
        <v>Near Earth Robotic - Low Latency &amp; Complex Needs</v>
      </c>
      <c r="B35" s="157">
        <f>Current!W6</f>
        <v>2</v>
      </c>
      <c r="C35" s="139">
        <f t="shared" si="9"/>
        <v>3.1746031746031744E-2</v>
      </c>
      <c r="D35" s="166">
        <f t="shared" si="10"/>
        <v>2</v>
      </c>
      <c r="E35" s="166">
        <f t="shared" si="10"/>
        <v>2</v>
      </c>
      <c r="F35" s="166">
        <f t="shared" si="10"/>
        <v>3</v>
      </c>
      <c r="G35" s="182">
        <f>D35*Current!$Y$13</f>
        <v>214683.38461538462</v>
      </c>
      <c r="H35" s="182">
        <f>E35*Current!$Y$13</f>
        <v>214683.38461538462</v>
      </c>
      <c r="I35" s="182">
        <f>F35*Current!$Y$13</f>
        <v>322025.07692307694</v>
      </c>
      <c r="J35" s="182">
        <f t="shared" si="12"/>
        <v>8587335.384615384</v>
      </c>
      <c r="K35" s="182">
        <f t="shared" si="13"/>
        <v>8587335.384615384</v>
      </c>
      <c r="L35" s="182">
        <f t="shared" si="14"/>
        <v>12881003.076923078</v>
      </c>
      <c r="M35" s="182">
        <f>J35+(J35/POWER(1+(Future_Cost!$B$96/100),1))+(J35/POWER(1+(Future_Cost!$B$96/100),2))+(J35/POWER(1+(Future_Cost!$B$96/100),3))+(J35/POWER(1+(Future_Cost!$B$96/100),4))</f>
        <v>40507306.027166203</v>
      </c>
      <c r="N35" s="182">
        <f>K35+(K35/POWER(1+(Future_Cost!$B$96/100),1))+(K35/POWER(1+(Future_Cost!$B$96/100),2))+(K35/POWER(1+(Future_Cost!$B$96/100),3))+(K35/POWER(1+(Future_Cost!$B$96/100),4))</f>
        <v>40507306.027166203</v>
      </c>
      <c r="O35" s="183">
        <f>L35+(L35/POWER(1+(Future_Cost!$B$96/100),1))+(L35/POWER(1+(Future_Cost!$B$96/100),2))+(L35/POWER(1+(Future_Cost!$B$96/100),3))+(L35/POWER(1+(Future_Cost!$B$96/100),4))</f>
        <v>60760959.040749311</v>
      </c>
    </row>
    <row r="36" spans="1:15" x14ac:dyDescent="0.25">
      <c r="A36" s="160" t="str">
        <f>Current!V7</f>
        <v>Mission Operations</v>
      </c>
      <c r="B36" s="157">
        <f>Current!W7</f>
        <v>0</v>
      </c>
      <c r="C36" s="139">
        <f t="shared" si="9"/>
        <v>0</v>
      </c>
      <c r="D36" s="166">
        <f t="shared" si="10"/>
        <v>0</v>
      </c>
      <c r="E36" s="166">
        <f t="shared" si="10"/>
        <v>0</v>
      </c>
      <c r="F36" s="166">
        <f t="shared" si="10"/>
        <v>0</v>
      </c>
      <c r="G36" s="182">
        <f>D36*Current!$Y$13</f>
        <v>0</v>
      </c>
      <c r="H36" s="182">
        <f>E36*Current!$Y$13</f>
        <v>0</v>
      </c>
      <c r="I36" s="182">
        <f>F36*Current!$Y$13</f>
        <v>0</v>
      </c>
      <c r="J36" s="182">
        <f t="shared" si="12"/>
        <v>0</v>
      </c>
      <c r="K36" s="182">
        <f t="shared" si="13"/>
        <v>0</v>
      </c>
      <c r="L36" s="182">
        <f t="shared" si="14"/>
        <v>0</v>
      </c>
      <c r="M36" s="182">
        <f>J36+(J36/POWER(1+(Future_Cost!$B$96/100),1))+(J36/POWER(1+(Future_Cost!$B$96/100),2))+(J36/POWER(1+(Future_Cost!$B$96/100),3))+(J36/POWER(1+(Future_Cost!$B$96/100),4))</f>
        <v>0</v>
      </c>
      <c r="N36" s="182">
        <f>K36+(K36/POWER(1+(Future_Cost!$B$96/100),1))+(K36/POWER(1+(Future_Cost!$B$96/100),2))+(K36/POWER(1+(Future_Cost!$B$96/100),3))+(K36/POWER(1+(Future_Cost!$B$96/100),4))</f>
        <v>0</v>
      </c>
      <c r="O36" s="183">
        <f>L36+(L36/POWER(1+(Future_Cost!$B$96/100),1))+(L36/POWER(1+(Future_Cost!$B$96/100),2))+(L36/POWER(1+(Future_Cost!$B$96/100),3))+(L36/POWER(1+(Future_Cost!$B$96/100),4))</f>
        <v>0</v>
      </c>
    </row>
    <row r="37" spans="1:15" x14ac:dyDescent="0.25">
      <c r="A37" s="160" t="str">
        <f>Current!V9</f>
        <v>Terrestrial &amp; Aerial</v>
      </c>
      <c r="B37" s="157">
        <f>Current!W9</f>
        <v>15</v>
      </c>
      <c r="C37" s="139">
        <f t="shared" si="9"/>
        <v>0.23809523809523808</v>
      </c>
      <c r="D37" s="166">
        <f t="shared" si="10"/>
        <v>12</v>
      </c>
      <c r="E37" s="166">
        <f t="shared" si="10"/>
        <v>16</v>
      </c>
      <c r="F37" s="166">
        <f t="shared" si="10"/>
        <v>20</v>
      </c>
      <c r="G37" s="182">
        <f>D37*Current!$Y$13</f>
        <v>1288100.3076923077</v>
      </c>
      <c r="H37" s="182">
        <f>E37*Current!$Y$13</f>
        <v>1717467.076923077</v>
      </c>
      <c r="I37" s="182">
        <f>F37*Current!$Y$13</f>
        <v>2146833.846153846</v>
      </c>
      <c r="J37" s="182">
        <f t="shared" si="12"/>
        <v>51524012.307692312</v>
      </c>
      <c r="K37" s="182">
        <f t="shared" si="13"/>
        <v>68698683.076923072</v>
      </c>
      <c r="L37" s="182">
        <f t="shared" si="14"/>
        <v>85873353.84615384</v>
      </c>
      <c r="M37" s="182">
        <f>J37+(J37/POWER(1+(Future_Cost!$B$96/100),1))+(J37/POWER(1+(Future_Cost!$B$96/100),2))+(J37/POWER(1+(Future_Cost!$B$96/100),3))+(J37/POWER(1+(Future_Cost!$B$96/100),4))</f>
        <v>243043836.16299725</v>
      </c>
      <c r="N37" s="182">
        <f>K37+(K37/POWER(1+(Future_Cost!$B$96/100),1))+(K37/POWER(1+(Future_Cost!$B$96/100),2))+(K37/POWER(1+(Future_Cost!$B$96/100),3))+(K37/POWER(1+(Future_Cost!$B$96/100),4))</f>
        <v>324058448.21732962</v>
      </c>
      <c r="O37" s="183">
        <f>L37+(L37/POWER(1+(Future_Cost!$B$96/100),1))+(L37/POWER(1+(Future_Cost!$B$96/100),2))+(L37/POWER(1+(Future_Cost!$B$96/100),3))+(L37/POWER(1+(Future_Cost!$B$96/100),4))</f>
        <v>405073060.271662</v>
      </c>
    </row>
    <row r="38" spans="1:15" ht="15.6" thickBot="1" x14ac:dyDescent="0.3">
      <c r="A38" s="159" t="s">
        <v>319</v>
      </c>
      <c r="B38" s="155">
        <f>SUM(B31:B36,B37)</f>
        <v>63</v>
      </c>
      <c r="C38" s="456">
        <f t="shared" ref="C38:I38" si="15">SUM(C31:C37)</f>
        <v>0.99999999999999978</v>
      </c>
      <c r="D38" s="167">
        <f t="shared" si="15"/>
        <v>49</v>
      </c>
      <c r="E38" s="167">
        <f t="shared" si="15"/>
        <v>67</v>
      </c>
      <c r="F38" s="167">
        <f t="shared" si="15"/>
        <v>85</v>
      </c>
      <c r="G38" s="167">
        <f t="shared" si="15"/>
        <v>5259742.9230769239</v>
      </c>
      <c r="H38" s="167">
        <f t="shared" si="15"/>
        <v>7191893.384615385</v>
      </c>
      <c r="I38" s="167">
        <f t="shared" si="15"/>
        <v>9124043.8461538479</v>
      </c>
      <c r="J38" s="167">
        <f t="shared" ref="J38:O38" si="16">SUM(J31:J37)</f>
        <v>210389716.92307693</v>
      </c>
      <c r="K38" s="167">
        <f t="shared" si="16"/>
        <v>287675735.38461536</v>
      </c>
      <c r="L38" s="167">
        <f t="shared" si="16"/>
        <v>364961753.84615386</v>
      </c>
      <c r="M38" s="167">
        <f t="shared" si="16"/>
        <v>992428997.66557205</v>
      </c>
      <c r="N38" s="167">
        <f t="shared" si="16"/>
        <v>1356994751.9100678</v>
      </c>
      <c r="O38" s="168">
        <f t="shared" si="16"/>
        <v>1721560506.1545639</v>
      </c>
    </row>
    <row r="39" spans="1:15" x14ac:dyDescent="0.25">
      <c r="J39" s="174"/>
    </row>
    <row r="40" spans="1:15" ht="16.2" thickBot="1" x14ac:dyDescent="0.35">
      <c r="A40" s="195" t="s">
        <v>330</v>
      </c>
    </row>
    <row r="41" spans="1:15" x14ac:dyDescent="0.25">
      <c r="A41" s="368" t="s">
        <v>91</v>
      </c>
      <c r="B41" s="473" t="s">
        <v>320</v>
      </c>
      <c r="C41" s="473"/>
      <c r="D41" s="473"/>
      <c r="E41" s="473"/>
      <c r="F41" s="473"/>
      <c r="G41" s="470" t="s">
        <v>323</v>
      </c>
      <c r="H41" s="470"/>
      <c r="I41" s="470"/>
      <c r="J41" s="470" t="s">
        <v>325</v>
      </c>
      <c r="K41" s="470"/>
      <c r="L41" s="470"/>
      <c r="M41" s="470" t="s">
        <v>326</v>
      </c>
      <c r="N41" s="470"/>
      <c r="O41" s="475"/>
    </row>
    <row r="42" spans="1:15" ht="15" customHeight="1" x14ac:dyDescent="0.25">
      <c r="A42" s="369" t="s">
        <v>82</v>
      </c>
      <c r="B42" s="370" t="s">
        <v>83</v>
      </c>
      <c r="C42" s="370" t="s">
        <v>92</v>
      </c>
      <c r="D42" s="370" t="s">
        <v>7</v>
      </c>
      <c r="E42" s="370" t="s">
        <v>76</v>
      </c>
      <c r="F42" s="370" t="s">
        <v>6</v>
      </c>
      <c r="G42" s="370" t="s">
        <v>7</v>
      </c>
      <c r="H42" s="370" t="s">
        <v>76</v>
      </c>
      <c r="I42" s="370" t="s">
        <v>6</v>
      </c>
      <c r="J42" s="370" t="s">
        <v>7</v>
      </c>
      <c r="K42" s="370" t="s">
        <v>76</v>
      </c>
      <c r="L42" s="370" t="s">
        <v>6</v>
      </c>
      <c r="M42" s="370" t="s">
        <v>7</v>
      </c>
      <c r="N42" s="370" t="s">
        <v>76</v>
      </c>
      <c r="O42" s="186" t="s">
        <v>6</v>
      </c>
    </row>
    <row r="43" spans="1:15" x14ac:dyDescent="0.25">
      <c r="A43" s="160" t="s">
        <v>314</v>
      </c>
      <c r="B43" s="157">
        <f>Current!J8</f>
        <v>0</v>
      </c>
      <c r="C43" s="139">
        <f>B43/$B$45</f>
        <v>0</v>
      </c>
      <c r="D43" s="162">
        <f t="shared" ref="D43:F44" si="17">ROUND($B43*(1+I$9),0)</f>
        <v>0</v>
      </c>
      <c r="E43" s="162">
        <f t="shared" si="17"/>
        <v>0</v>
      </c>
      <c r="F43" s="162">
        <f t="shared" si="17"/>
        <v>0</v>
      </c>
      <c r="G43" s="182">
        <f>D43*Current!$L$13</f>
        <v>0</v>
      </c>
      <c r="H43" s="182">
        <f>E43*Current!$L$13</f>
        <v>0</v>
      </c>
      <c r="I43" s="182">
        <f>F43*Current!$L$13</f>
        <v>0</v>
      </c>
      <c r="J43" s="182">
        <f>G43*$O$6</f>
        <v>0</v>
      </c>
      <c r="K43" s="182">
        <f t="shared" ref="K43:L43" si="18">H43*$O$6</f>
        <v>0</v>
      </c>
      <c r="L43" s="182">
        <f t="shared" si="18"/>
        <v>0</v>
      </c>
      <c r="M43" s="182">
        <f>J43+(J43/POWER(1+(Future_Cost!$B$96/100),1))+(J43/POWER(1+(Future_Cost!$B$96/100),2))+(J43/POWER(1+(Future_Cost!$B$96/100),3))+(J43/POWER(1+(Future_Cost!$B$96/100),4))</f>
        <v>0</v>
      </c>
      <c r="N43" s="182">
        <f>K43+(K43/POWER(1+(Future_Cost!$B$96/100),1))+(K43/POWER(1+(Future_Cost!$B$96/100),2))+(K43/POWER(1+(Future_Cost!$B$96/100),3))+(K43/POWER(1+(Future_Cost!$B$96/100),4))</f>
        <v>0</v>
      </c>
      <c r="O43" s="183">
        <f>L43+(L43/POWER(1+(Future_Cost!$B$96/100),1))+(L43/POWER(1+(Future_Cost!$B$96/100),2))+(L43/POWER(1+(Future_Cost!$B$96/100),3))+(L43/POWER(1+(Future_Cost!$B$96/100),4))</f>
        <v>0</v>
      </c>
    </row>
    <row r="44" spans="1:15" x14ac:dyDescent="0.25">
      <c r="A44" s="160" t="s">
        <v>315</v>
      </c>
      <c r="B44" s="163">
        <f>Current!W8</f>
        <v>2</v>
      </c>
      <c r="C44" s="139">
        <f>B44/$B$45</f>
        <v>1</v>
      </c>
      <c r="D44" s="162">
        <f t="shared" si="17"/>
        <v>20</v>
      </c>
      <c r="E44" s="162">
        <f t="shared" si="17"/>
        <v>32</v>
      </c>
      <c r="F44" s="162">
        <f t="shared" si="17"/>
        <v>45</v>
      </c>
      <c r="G44" s="182">
        <f>D44*Current!$Y$13</f>
        <v>2146833.846153846</v>
      </c>
      <c r="H44" s="182">
        <f>E44*Current!$Y$13</f>
        <v>3434934.153846154</v>
      </c>
      <c r="I44" s="182">
        <f>F44*Current!$Y$13</f>
        <v>4830376.153846154</v>
      </c>
      <c r="J44" s="182">
        <f>G44*$O$7</f>
        <v>85873353.84615384</v>
      </c>
      <c r="K44" s="182">
        <f t="shared" ref="K44:L44" si="19">H44*$O$7</f>
        <v>137397366.15384614</v>
      </c>
      <c r="L44" s="182">
        <f t="shared" si="19"/>
        <v>193215046.15384614</v>
      </c>
      <c r="M44" s="182">
        <f>J44+(J44/POWER(1+(Future_Cost!$B$96/100),1))+(J44/POWER(1+(Future_Cost!$B$96/100),2))+(J44/POWER(1+(Future_Cost!$B$96/100),3))+(J44/POWER(1+(Future_Cost!$B$96/100),4))</f>
        <v>405073060.271662</v>
      </c>
      <c r="N44" s="182">
        <f>K44+(K44/POWER(1+(Future_Cost!$B$96/100),1))+(K44/POWER(1+(Future_Cost!$B$96/100),2))+(K44/POWER(1+(Future_Cost!$B$96/100),3))+(K44/POWER(1+(Future_Cost!$B$96/100),4))</f>
        <v>648116896.43465924</v>
      </c>
      <c r="O44" s="183">
        <f>L44+(L44/POWER(1+(Future_Cost!$B$96/100),1))+(L44/POWER(1+(Future_Cost!$B$96/100),2))+(L44/POWER(1+(Future_Cost!$B$96/100),3))+(L44/POWER(1+(Future_Cost!$B$96/100),4))</f>
        <v>911414385.61123955</v>
      </c>
    </row>
    <row r="45" spans="1:15" ht="14.4" customHeight="1" thickBot="1" x14ac:dyDescent="0.3">
      <c r="A45" s="159" t="s">
        <v>84</v>
      </c>
      <c r="B45" s="155">
        <f t="shared" ref="B45:O45" si="20">SUM(B43:B44)</f>
        <v>2</v>
      </c>
      <c r="C45" s="164">
        <f t="shared" si="20"/>
        <v>1</v>
      </c>
      <c r="D45" s="165">
        <f t="shared" si="20"/>
        <v>20</v>
      </c>
      <c r="E45" s="165">
        <f t="shared" si="20"/>
        <v>32</v>
      </c>
      <c r="F45" s="165">
        <f t="shared" si="20"/>
        <v>45</v>
      </c>
      <c r="G45" s="165">
        <f t="shared" si="20"/>
        <v>2146833.846153846</v>
      </c>
      <c r="H45" s="165">
        <f t="shared" si="20"/>
        <v>3434934.153846154</v>
      </c>
      <c r="I45" s="165">
        <f t="shared" si="20"/>
        <v>4830376.153846154</v>
      </c>
      <c r="J45" s="165">
        <f t="shared" si="20"/>
        <v>85873353.84615384</v>
      </c>
      <c r="K45" s="165">
        <f t="shared" si="20"/>
        <v>137397366.15384614</v>
      </c>
      <c r="L45" s="165">
        <f t="shared" si="20"/>
        <v>193215046.15384614</v>
      </c>
      <c r="M45" s="165">
        <f t="shared" si="20"/>
        <v>405073060.271662</v>
      </c>
      <c r="N45" s="165">
        <f t="shared" si="20"/>
        <v>648116896.43465924</v>
      </c>
      <c r="O45" s="187">
        <f t="shared" si="20"/>
        <v>911414385.61123955</v>
      </c>
    </row>
    <row r="46" spans="1:15" x14ac:dyDescent="0.25">
      <c r="A46" s="173"/>
      <c r="B46" s="170"/>
      <c r="C46" s="171"/>
      <c r="D46" s="172"/>
      <c r="E46" s="172"/>
      <c r="F46" s="172"/>
    </row>
    <row r="47" spans="1:15" x14ac:dyDescent="0.25">
      <c r="A47" s="173"/>
      <c r="B47" s="170"/>
      <c r="C47" s="171"/>
      <c r="D47" s="172"/>
      <c r="E47" s="172"/>
      <c r="F47" s="172"/>
    </row>
    <row r="48" spans="1:15" s="194" customFormat="1" x14ac:dyDescent="0.25"/>
    <row r="49" spans="1:15" ht="16.2" thickBot="1" x14ac:dyDescent="0.35">
      <c r="A49" s="195" t="s">
        <v>331</v>
      </c>
    </row>
    <row r="50" spans="1:15" ht="14.4" customHeight="1" x14ac:dyDescent="0.25">
      <c r="A50" s="500" t="s">
        <v>317</v>
      </c>
      <c r="B50" s="501"/>
      <c r="C50" s="463" t="s">
        <v>72</v>
      </c>
      <c r="D50" s="463"/>
      <c r="E50" s="463"/>
      <c r="F50" s="463" t="s">
        <v>73</v>
      </c>
      <c r="G50" s="463"/>
      <c r="H50" s="463"/>
      <c r="I50" s="473" t="s">
        <v>73</v>
      </c>
      <c r="J50" s="473"/>
      <c r="K50" s="479"/>
    </row>
    <row r="51" spans="1:15" x14ac:dyDescent="0.25">
      <c r="A51" s="465"/>
      <c r="B51" s="502"/>
      <c r="C51" s="382" t="s">
        <v>7</v>
      </c>
      <c r="D51" s="382" t="s">
        <v>76</v>
      </c>
      <c r="E51" s="382" t="s">
        <v>6</v>
      </c>
      <c r="F51" s="382" t="s">
        <v>7</v>
      </c>
      <c r="G51" s="382" t="s">
        <v>76</v>
      </c>
      <c r="H51" s="382" t="s">
        <v>6</v>
      </c>
      <c r="I51" s="382" t="s">
        <v>7</v>
      </c>
      <c r="J51" s="382" t="s">
        <v>76</v>
      </c>
      <c r="K51" s="141" t="s">
        <v>6</v>
      </c>
    </row>
    <row r="52" spans="1:15" x14ac:dyDescent="0.25">
      <c r="A52" s="361" t="s">
        <v>74</v>
      </c>
      <c r="B52" s="382" t="s">
        <v>75</v>
      </c>
      <c r="C52" s="15">
        <v>20</v>
      </c>
      <c r="D52" s="15">
        <v>22</v>
      </c>
      <c r="E52" s="15">
        <v>24</v>
      </c>
      <c r="F52" s="15">
        <v>40</v>
      </c>
      <c r="G52" s="15">
        <v>58</v>
      </c>
      <c r="H52" s="15">
        <v>76</v>
      </c>
      <c r="I52" s="139">
        <f t="shared" ref="I52:K53" si="21">(F52-$B$69)/$B$26</f>
        <v>-0.18367346938775511</v>
      </c>
      <c r="J52" s="139">
        <f t="shared" si="21"/>
        <v>0.18367346938775511</v>
      </c>
      <c r="K52" s="47">
        <f t="shared" si="21"/>
        <v>0.55102040816326525</v>
      </c>
    </row>
    <row r="53" spans="1:15" x14ac:dyDescent="0.25">
      <c r="A53" s="361"/>
      <c r="B53" s="380" t="s">
        <v>77</v>
      </c>
      <c r="C53" s="14">
        <v>12</v>
      </c>
      <c r="D53" s="14">
        <v>14</v>
      </c>
      <c r="E53" s="14">
        <v>16</v>
      </c>
      <c r="F53" s="15">
        <v>40</v>
      </c>
      <c r="G53" s="15">
        <v>58</v>
      </c>
      <c r="H53" s="15">
        <v>76</v>
      </c>
      <c r="I53" s="139">
        <f t="shared" si="21"/>
        <v>-0.18367346938775511</v>
      </c>
      <c r="J53" s="139">
        <f t="shared" si="21"/>
        <v>0.18367346938775511</v>
      </c>
      <c r="K53" s="47">
        <f t="shared" si="21"/>
        <v>0.55102040816326525</v>
      </c>
    </row>
    <row r="54" spans="1:15" ht="14.4" customHeight="1" x14ac:dyDescent="0.25">
      <c r="A54" s="379" t="s">
        <v>78</v>
      </c>
      <c r="B54" s="380"/>
      <c r="C54" s="14">
        <v>1</v>
      </c>
      <c r="D54" s="14">
        <v>12</v>
      </c>
      <c r="E54" s="14">
        <v>25</v>
      </c>
      <c r="F54" s="14">
        <v>1</v>
      </c>
      <c r="G54" s="14">
        <v>12</v>
      </c>
      <c r="H54" s="14">
        <v>25</v>
      </c>
      <c r="I54" s="169" t="s">
        <v>10</v>
      </c>
      <c r="J54" s="169" t="s">
        <v>10</v>
      </c>
      <c r="K54" s="188" t="s">
        <v>10</v>
      </c>
    </row>
    <row r="55" spans="1:15" x14ac:dyDescent="0.25">
      <c r="A55" s="503" t="s">
        <v>79</v>
      </c>
      <c r="B55" s="504"/>
      <c r="C55" s="184">
        <v>89840</v>
      </c>
      <c r="D55" s="184">
        <v>250000</v>
      </c>
      <c r="E55" s="184">
        <v>525600</v>
      </c>
      <c r="F55" s="184">
        <v>525600</v>
      </c>
      <c r="G55" s="184">
        <v>750000</v>
      </c>
      <c r="H55" s="184">
        <v>1000000</v>
      </c>
      <c r="I55" s="169" t="s">
        <v>10</v>
      </c>
      <c r="J55" s="169" t="s">
        <v>10</v>
      </c>
      <c r="K55" s="188" t="s">
        <v>10</v>
      </c>
    </row>
    <row r="56" spans="1:15" x14ac:dyDescent="0.25">
      <c r="A56" s="505" t="s">
        <v>321</v>
      </c>
      <c r="B56" s="506"/>
      <c r="C56" s="181">
        <f t="shared" ref="C56:H56" si="22">C55/SUM(C52:C53)</f>
        <v>2807.5</v>
      </c>
      <c r="D56" s="181">
        <f t="shared" si="22"/>
        <v>6944.4444444444443</v>
      </c>
      <c r="E56" s="181">
        <f t="shared" si="22"/>
        <v>13140</v>
      </c>
      <c r="F56" s="181">
        <f t="shared" si="22"/>
        <v>6570</v>
      </c>
      <c r="G56" s="181">
        <f t="shared" si="22"/>
        <v>6465.5172413793107</v>
      </c>
      <c r="H56" s="181">
        <f t="shared" si="22"/>
        <v>6578.9473684210525</v>
      </c>
      <c r="I56" s="169" t="s">
        <v>10</v>
      </c>
      <c r="J56" s="169" t="s">
        <v>10</v>
      </c>
      <c r="K56" s="188" t="s">
        <v>10</v>
      </c>
    </row>
    <row r="57" spans="1:15" ht="14.4" thickBot="1" x14ac:dyDescent="0.3">
      <c r="A57" s="507" t="s">
        <v>322</v>
      </c>
      <c r="B57" s="508"/>
      <c r="C57" s="140">
        <f>C55/(SUM(C51:C53)*C54)</f>
        <v>2807.5</v>
      </c>
      <c r="D57" s="140">
        <f>D55/(SUM(D51:D53)*D54)</f>
        <v>578.7037037037037</v>
      </c>
      <c r="E57" s="140">
        <f>E55/(SUM(E51:E53)*E54)</f>
        <v>525.6</v>
      </c>
      <c r="F57" s="140">
        <f>F55/(SUM(F52:F53)*F54)</f>
        <v>6570</v>
      </c>
      <c r="G57" s="140">
        <f>G55/(SUM(G52:G53)*G54)</f>
        <v>538.79310344827582</v>
      </c>
      <c r="H57" s="140">
        <f>H55/(SUM(H52:H53)*H54)</f>
        <v>263.15789473684208</v>
      </c>
      <c r="I57" s="189" t="s">
        <v>10</v>
      </c>
      <c r="J57" s="189" t="s">
        <v>10</v>
      </c>
      <c r="K57" s="190" t="s">
        <v>10</v>
      </c>
    </row>
    <row r="59" spans="1:15" ht="14.4" thickBot="1" x14ac:dyDescent="0.3">
      <c r="A59" s="136" t="s">
        <v>332</v>
      </c>
    </row>
    <row r="60" spans="1:15" x14ac:dyDescent="0.25">
      <c r="A60" s="368" t="s">
        <v>91</v>
      </c>
      <c r="B60" s="473" t="s">
        <v>93</v>
      </c>
      <c r="C60" s="473"/>
      <c r="D60" s="473"/>
      <c r="E60" s="473"/>
      <c r="F60" s="473"/>
      <c r="G60" s="470" t="s">
        <v>323</v>
      </c>
      <c r="H60" s="470"/>
      <c r="I60" s="470"/>
      <c r="J60" s="470" t="s">
        <v>325</v>
      </c>
      <c r="K60" s="470"/>
      <c r="L60" s="470"/>
      <c r="M60" s="470" t="s">
        <v>326</v>
      </c>
      <c r="N60" s="470"/>
      <c r="O60" s="475"/>
    </row>
    <row r="61" spans="1:15" x14ac:dyDescent="0.25">
      <c r="A61" s="160" t="str">
        <f>Current!I1</f>
        <v>Use Case</v>
      </c>
      <c r="B61" s="161" t="str">
        <f>Current!J1</f>
        <v>Count</v>
      </c>
      <c r="C61" s="161" t="str">
        <f>Current!K1</f>
        <v>Share</v>
      </c>
      <c r="D61" s="370" t="s">
        <v>7</v>
      </c>
      <c r="E61" s="370" t="s">
        <v>76</v>
      </c>
      <c r="F61" s="370" t="s">
        <v>6</v>
      </c>
      <c r="G61" s="370" t="s">
        <v>7</v>
      </c>
      <c r="H61" s="370" t="s">
        <v>76</v>
      </c>
      <c r="I61" s="370" t="s">
        <v>6</v>
      </c>
      <c r="J61" s="370" t="s">
        <v>7</v>
      </c>
      <c r="K61" s="370" t="s">
        <v>76</v>
      </c>
      <c r="L61" s="370" t="s">
        <v>6</v>
      </c>
      <c r="M61" s="370" t="s">
        <v>7</v>
      </c>
      <c r="N61" s="370" t="s">
        <v>76</v>
      </c>
      <c r="O61" s="186" t="s">
        <v>6</v>
      </c>
    </row>
    <row r="62" spans="1:15" x14ac:dyDescent="0.25">
      <c r="A62" s="160" t="str">
        <f>Current!I2</f>
        <v>Human Space Flight</v>
      </c>
      <c r="B62" s="163">
        <f>Current!J2</f>
        <v>2</v>
      </c>
      <c r="C62" s="139">
        <f t="shared" ref="C62:C68" si="23">B62/$B$69</f>
        <v>4.0816326530612242E-2</v>
      </c>
      <c r="D62" s="166">
        <f t="shared" ref="D62:F68" si="24">ROUND($B62*(1+I$52),0)</f>
        <v>2</v>
      </c>
      <c r="E62" s="166">
        <f t="shared" si="24"/>
        <v>2</v>
      </c>
      <c r="F62" s="166">
        <f t="shared" si="24"/>
        <v>3</v>
      </c>
      <c r="G62" s="182">
        <f>D62*Current!$L$13</f>
        <v>32673.466666666667</v>
      </c>
      <c r="H62" s="182">
        <f>E62*Current!$L$13</f>
        <v>32673.466666666667</v>
      </c>
      <c r="I62" s="182">
        <f>F62*Current!$L$13</f>
        <v>49010.2</v>
      </c>
      <c r="J62" s="182">
        <f>G62*$O$6</f>
        <v>490102</v>
      </c>
      <c r="K62" s="182">
        <f t="shared" ref="K62:L62" si="25">H62*$O$6</f>
        <v>490102</v>
      </c>
      <c r="L62" s="182">
        <f t="shared" si="25"/>
        <v>735153</v>
      </c>
      <c r="M62" s="182">
        <f>J62+(J62/POWER(1+(Future_Cost!$B$96/100),1))+(J62/POWER(1+(Future_Cost!$B$96/100),2))+(J62/POWER(1+(Future_Cost!$B$96/100),3))+(J62/POWER(1+(Future_Cost!$B$96/100),4))</f>
        <v>2311859.361414168</v>
      </c>
      <c r="N62" s="182">
        <f>K62+(K62/POWER(1+(Future_Cost!$B$96/100),1))+(K62/POWER(1+(Future_Cost!$B$96/100),2))+(K62/POWER(1+(Future_Cost!$B$96/100),3))+(K62/POWER(1+(Future_Cost!$B$96/100),4))</f>
        <v>2311859.361414168</v>
      </c>
      <c r="O62" s="183">
        <f>L62+(L62/POWER(1+(Future_Cost!$B$96/100),1))+(L62/POWER(1+(Future_Cost!$B$96/100),2))+(L62/POWER(1+(Future_Cost!$B$96/100),3))+(L62/POWER(1+(Future_Cost!$B$96/100),4))</f>
        <v>3467789.042121252</v>
      </c>
    </row>
    <row r="63" spans="1:15" x14ac:dyDescent="0.25">
      <c r="A63" s="160" t="str">
        <f>Current!I3</f>
        <v>Near Earth Robotic - LEO Science</v>
      </c>
      <c r="B63" s="163">
        <f>Current!J3</f>
        <v>32</v>
      </c>
      <c r="C63" s="139">
        <f t="shared" si="23"/>
        <v>0.65306122448979587</v>
      </c>
      <c r="D63" s="166">
        <f t="shared" si="24"/>
        <v>26</v>
      </c>
      <c r="E63" s="166">
        <f t="shared" si="24"/>
        <v>38</v>
      </c>
      <c r="F63" s="166">
        <f t="shared" si="24"/>
        <v>50</v>
      </c>
      <c r="G63" s="182">
        <f>D63*Current!$L$13</f>
        <v>424755.06666666665</v>
      </c>
      <c r="H63" s="182">
        <f>E63*Current!$L$13</f>
        <v>620795.8666666667</v>
      </c>
      <c r="I63" s="182">
        <f>F63*Current!$L$13</f>
        <v>816836.66666666663</v>
      </c>
      <c r="J63" s="182">
        <f t="shared" ref="J63:J68" si="26">G63*$O$6</f>
        <v>6371326</v>
      </c>
      <c r="K63" s="182">
        <f t="shared" ref="K63:K68" si="27">H63*$O$6</f>
        <v>9311938</v>
      </c>
      <c r="L63" s="182">
        <f t="shared" ref="L63:L68" si="28">I63*$O$6</f>
        <v>12252550</v>
      </c>
      <c r="M63" s="182">
        <f>J63+(J63/POWER(1+(Future_Cost!$B$96/100),1))+(J63/POWER(1+(Future_Cost!$B$96/100),2))+(J63/POWER(1+(Future_Cost!$B$96/100),3))+(J63/POWER(1+(Future_Cost!$B$96/100),4))</f>
        <v>30054171.698384184</v>
      </c>
      <c r="N63" s="182">
        <f>K63+(K63/POWER(1+(Future_Cost!$B$96/100),1))+(K63/POWER(1+(Future_Cost!$B$96/100),2))+(K63/POWER(1+(Future_Cost!$B$96/100),3))+(K63/POWER(1+(Future_Cost!$B$96/100),4))</f>
        <v>43925327.866869189</v>
      </c>
      <c r="O63" s="183">
        <f>L63+(L63/POWER(1+(Future_Cost!$B$96/100),1))+(L63/POWER(1+(Future_Cost!$B$96/100),2))+(L63/POWER(1+(Future_Cost!$B$96/100),3))+(L63/POWER(1+(Future_Cost!$B$96/100),4))</f>
        <v>57796484.035354197</v>
      </c>
    </row>
    <row r="64" spans="1:15" x14ac:dyDescent="0.25">
      <c r="A64" s="160" t="str">
        <f>Current!I4</f>
        <v>Near Earth Robotic - GEO and Near Earth</v>
      </c>
      <c r="B64" s="163">
        <f>Current!J4</f>
        <v>15</v>
      </c>
      <c r="C64" s="139">
        <f t="shared" si="23"/>
        <v>0.30612244897959184</v>
      </c>
      <c r="D64" s="166">
        <f t="shared" si="24"/>
        <v>12</v>
      </c>
      <c r="E64" s="166">
        <f t="shared" si="24"/>
        <v>18</v>
      </c>
      <c r="F64" s="166">
        <f t="shared" si="24"/>
        <v>23</v>
      </c>
      <c r="G64" s="182">
        <f>D64*Current!$L$13</f>
        <v>196040.8</v>
      </c>
      <c r="H64" s="182">
        <f>E64*Current!$L$13</f>
        <v>294061.2</v>
      </c>
      <c r="I64" s="182">
        <f>F64*Current!$L$13</f>
        <v>375744.8666666667</v>
      </c>
      <c r="J64" s="182">
        <f t="shared" si="26"/>
        <v>2940612</v>
      </c>
      <c r="K64" s="182">
        <f t="shared" si="27"/>
        <v>4410918</v>
      </c>
      <c r="L64" s="182">
        <f t="shared" si="28"/>
        <v>5636173</v>
      </c>
      <c r="M64" s="182">
        <f>J64+(J64/POWER(1+(Future_Cost!$B$96/100),1))+(J64/POWER(1+(Future_Cost!$B$96/100),2))+(J64/POWER(1+(Future_Cost!$B$96/100),3))+(J64/POWER(1+(Future_Cost!$B$96/100),4))</f>
        <v>13871156.168485008</v>
      </c>
      <c r="N64" s="182">
        <f>K64+(K64/POWER(1+(Future_Cost!$B$96/100),1))+(K64/POWER(1+(Future_Cost!$B$96/100),2))+(K64/POWER(1+(Future_Cost!$B$96/100),3))+(K64/POWER(1+(Future_Cost!$B$96/100),4))</f>
        <v>20806734.252727509</v>
      </c>
      <c r="O64" s="183">
        <f>L64+(L64/POWER(1+(Future_Cost!$B$96/100),1))+(L64/POWER(1+(Future_Cost!$B$96/100),2))+(L64/POWER(1+(Future_Cost!$B$96/100),3))+(L64/POWER(1+(Future_Cost!$B$96/100),4))</f>
        <v>26586382.65626293</v>
      </c>
    </row>
    <row r="65" spans="1:15" ht="14.4" customHeight="1" x14ac:dyDescent="0.25">
      <c r="A65" s="160" t="str">
        <f>Current!I5</f>
        <v>Deep Space Robotic</v>
      </c>
      <c r="B65" s="163">
        <f>Current!J5</f>
        <v>0</v>
      </c>
      <c r="C65" s="139">
        <f t="shared" si="23"/>
        <v>0</v>
      </c>
      <c r="D65" s="166">
        <f t="shared" si="24"/>
        <v>0</v>
      </c>
      <c r="E65" s="166">
        <f t="shared" si="24"/>
        <v>0</v>
      </c>
      <c r="F65" s="166">
        <f t="shared" si="24"/>
        <v>0</v>
      </c>
      <c r="G65" s="182">
        <f>D65*Current!$L$13</f>
        <v>0</v>
      </c>
      <c r="H65" s="182">
        <f>E65*Current!$L$13</f>
        <v>0</v>
      </c>
      <c r="I65" s="182">
        <f>F65*Current!$L$13</f>
        <v>0</v>
      </c>
      <c r="J65" s="182">
        <f t="shared" si="26"/>
        <v>0</v>
      </c>
      <c r="K65" s="182">
        <f t="shared" si="27"/>
        <v>0</v>
      </c>
      <c r="L65" s="182">
        <f t="shared" si="28"/>
        <v>0</v>
      </c>
      <c r="M65" s="182">
        <f>J65+(J65/POWER(1+(Future_Cost!$B$96/100),1))+(J65/POWER(1+(Future_Cost!$B$96/100),2))+(J65/POWER(1+(Future_Cost!$B$96/100),3))+(J65/POWER(1+(Future_Cost!$B$96/100),4))</f>
        <v>0</v>
      </c>
      <c r="N65" s="182">
        <f>K65+(K65/POWER(1+(Future_Cost!$B$96/100),1))+(K65/POWER(1+(Future_Cost!$B$96/100),2))+(K65/POWER(1+(Future_Cost!$B$96/100),3))+(K65/POWER(1+(Future_Cost!$B$96/100),4))</f>
        <v>0</v>
      </c>
      <c r="O65" s="183">
        <f>L65+(L65/POWER(1+(Future_Cost!$B$96/100),1))+(L65/POWER(1+(Future_Cost!$B$96/100),2))+(L65/POWER(1+(Future_Cost!$B$96/100),3))+(L65/POWER(1+(Future_Cost!$B$96/100),4))</f>
        <v>0</v>
      </c>
    </row>
    <row r="66" spans="1:15" x14ac:dyDescent="0.25">
      <c r="A66" s="160" t="str">
        <f>Current!I6</f>
        <v>Near Earth Robotic - Low Latency &amp; Complex Needs</v>
      </c>
      <c r="B66" s="163">
        <f>Current!J6</f>
        <v>0</v>
      </c>
      <c r="C66" s="139">
        <f t="shared" si="23"/>
        <v>0</v>
      </c>
      <c r="D66" s="166">
        <f t="shared" si="24"/>
        <v>0</v>
      </c>
      <c r="E66" s="166">
        <f t="shared" si="24"/>
        <v>0</v>
      </c>
      <c r="F66" s="166">
        <f t="shared" si="24"/>
        <v>0</v>
      </c>
      <c r="G66" s="182">
        <f>D66*Current!$L$13</f>
        <v>0</v>
      </c>
      <c r="H66" s="182">
        <f>E66*Current!$L$13</f>
        <v>0</v>
      </c>
      <c r="I66" s="182">
        <f>F66*Current!$L$13</f>
        <v>0</v>
      </c>
      <c r="J66" s="182">
        <f t="shared" si="26"/>
        <v>0</v>
      </c>
      <c r="K66" s="182">
        <f t="shared" si="27"/>
        <v>0</v>
      </c>
      <c r="L66" s="182">
        <f t="shared" si="28"/>
        <v>0</v>
      </c>
      <c r="M66" s="182">
        <f>J66+(J66/POWER(1+(Future_Cost!$B$96/100),1))+(J66/POWER(1+(Future_Cost!$B$96/100),2))+(J66/POWER(1+(Future_Cost!$B$96/100),3))+(J66/POWER(1+(Future_Cost!$B$96/100),4))</f>
        <v>0</v>
      </c>
      <c r="N66" s="182">
        <f>K66+(K66/POWER(1+(Future_Cost!$B$96/100),1))+(K66/POWER(1+(Future_Cost!$B$96/100),2))+(K66/POWER(1+(Future_Cost!$B$96/100),3))+(K66/POWER(1+(Future_Cost!$B$96/100),4))</f>
        <v>0</v>
      </c>
      <c r="O66" s="183">
        <f>L66+(L66/POWER(1+(Future_Cost!$B$96/100),1))+(L66/POWER(1+(Future_Cost!$B$96/100),2))+(L66/POWER(1+(Future_Cost!$B$96/100),3))+(L66/POWER(1+(Future_Cost!$B$96/100),4))</f>
        <v>0</v>
      </c>
    </row>
    <row r="67" spans="1:15" x14ac:dyDescent="0.25">
      <c r="A67" s="160" t="str">
        <f>Current!I7</f>
        <v>Mission Operations</v>
      </c>
      <c r="B67" s="163">
        <f>Current!J7</f>
        <v>0</v>
      </c>
      <c r="C67" s="139">
        <f t="shared" si="23"/>
        <v>0</v>
      </c>
      <c r="D67" s="166">
        <f t="shared" si="24"/>
        <v>0</v>
      </c>
      <c r="E67" s="166">
        <f t="shared" si="24"/>
        <v>0</v>
      </c>
      <c r="F67" s="166">
        <f t="shared" si="24"/>
        <v>0</v>
      </c>
      <c r="G67" s="182">
        <f>D67*Current!$L$13</f>
        <v>0</v>
      </c>
      <c r="H67" s="182">
        <f>E67*Current!$L$13</f>
        <v>0</v>
      </c>
      <c r="I67" s="182">
        <f>F67*Current!$L$13</f>
        <v>0</v>
      </c>
      <c r="J67" s="182">
        <f t="shared" si="26"/>
        <v>0</v>
      </c>
      <c r="K67" s="182">
        <f t="shared" si="27"/>
        <v>0</v>
      </c>
      <c r="L67" s="182">
        <f t="shared" si="28"/>
        <v>0</v>
      </c>
      <c r="M67" s="182">
        <f>J67+(J67/POWER(1+(Future_Cost!$B$96/100),1))+(J67/POWER(1+(Future_Cost!$B$96/100),2))+(J67/POWER(1+(Future_Cost!$B$96/100),3))+(J67/POWER(1+(Future_Cost!$B$96/100),4))</f>
        <v>0</v>
      </c>
      <c r="N67" s="182">
        <f>K67+(K67/POWER(1+(Future_Cost!$B$96/100),1))+(K67/POWER(1+(Future_Cost!$B$96/100),2))+(K67/POWER(1+(Future_Cost!$B$96/100),3))+(K67/POWER(1+(Future_Cost!$B$96/100),4))</f>
        <v>0</v>
      </c>
      <c r="O67" s="183">
        <f>L67+(L67/POWER(1+(Future_Cost!$B$96/100),1))+(L67/POWER(1+(Future_Cost!$B$96/100),2))+(L67/POWER(1+(Future_Cost!$B$96/100),3))+(L67/POWER(1+(Future_Cost!$B$96/100),4))</f>
        <v>0</v>
      </c>
    </row>
    <row r="68" spans="1:15" x14ac:dyDescent="0.25">
      <c r="A68" s="160" t="str">
        <f>Current!I9</f>
        <v>Terrestrial &amp; Aerial</v>
      </c>
      <c r="B68" s="163">
        <f>Current!J9</f>
        <v>0</v>
      </c>
      <c r="C68" s="139">
        <f t="shared" si="23"/>
        <v>0</v>
      </c>
      <c r="D68" s="166">
        <f t="shared" si="24"/>
        <v>0</v>
      </c>
      <c r="E68" s="166">
        <f t="shared" si="24"/>
        <v>0</v>
      </c>
      <c r="F68" s="166">
        <f t="shared" si="24"/>
        <v>0</v>
      </c>
      <c r="G68" s="182">
        <f>D68*Current!$L$13</f>
        <v>0</v>
      </c>
      <c r="H68" s="182">
        <f>E68*Current!$L$13</f>
        <v>0</v>
      </c>
      <c r="I68" s="182">
        <f>F68*Current!$L$13</f>
        <v>0</v>
      </c>
      <c r="J68" s="182">
        <f t="shared" si="26"/>
        <v>0</v>
      </c>
      <c r="K68" s="182">
        <f t="shared" si="27"/>
        <v>0</v>
      </c>
      <c r="L68" s="182">
        <f t="shared" si="28"/>
        <v>0</v>
      </c>
      <c r="M68" s="182">
        <f>J68+(J68/POWER(1+(Future_Cost!$B$96/100),1))+(J68/POWER(1+(Future_Cost!$B$96/100),2))+(J68/POWER(1+(Future_Cost!$B$96/100),3))+(J68/POWER(1+(Future_Cost!$B$96/100),4))</f>
        <v>0</v>
      </c>
      <c r="N68" s="182">
        <f>K68+(K68/POWER(1+(Future_Cost!$B$96/100),1))+(K68/POWER(1+(Future_Cost!$B$96/100),2))+(K68/POWER(1+(Future_Cost!$B$96/100),3))+(K68/POWER(1+(Future_Cost!$B$96/100),4))</f>
        <v>0</v>
      </c>
      <c r="O68" s="183">
        <f>L68+(L68/POWER(1+(Future_Cost!$B$96/100),1))+(L68/POWER(1+(Future_Cost!$B$96/100),2))+(L68/POWER(1+(Future_Cost!$B$96/100),3))+(L68/POWER(1+(Future_Cost!$B$96/100),4))</f>
        <v>0</v>
      </c>
    </row>
    <row r="69" spans="1:15" ht="15.6" thickBot="1" x14ac:dyDescent="0.3">
      <c r="A69" s="383" t="s">
        <v>312</v>
      </c>
      <c r="B69" s="155">
        <f>SUM(B62:B67,B68)</f>
        <v>49</v>
      </c>
      <c r="C69" s="456">
        <f t="shared" ref="C69:O69" si="29">SUM(C62:C68)</f>
        <v>1</v>
      </c>
      <c r="D69" s="167">
        <f t="shared" si="29"/>
        <v>40</v>
      </c>
      <c r="E69" s="167">
        <f t="shared" si="29"/>
        <v>58</v>
      </c>
      <c r="F69" s="167">
        <f t="shared" si="29"/>
        <v>76</v>
      </c>
      <c r="G69" s="167">
        <f t="shared" si="29"/>
        <v>653469.33333333326</v>
      </c>
      <c r="H69" s="167">
        <f t="shared" si="29"/>
        <v>947530.53333333344</v>
      </c>
      <c r="I69" s="167">
        <f t="shared" si="29"/>
        <v>1241591.7333333334</v>
      </c>
      <c r="J69" s="167">
        <f t="shared" si="29"/>
        <v>9802040</v>
      </c>
      <c r="K69" s="167">
        <f t="shared" si="29"/>
        <v>14212958</v>
      </c>
      <c r="L69" s="167">
        <f t="shared" si="29"/>
        <v>18623876</v>
      </c>
      <c r="M69" s="167">
        <f t="shared" si="29"/>
        <v>46237187.228283361</v>
      </c>
      <c r="N69" s="167">
        <f t="shared" si="29"/>
        <v>67043921.481010869</v>
      </c>
      <c r="O69" s="168">
        <f t="shared" si="29"/>
        <v>87850655.733738378</v>
      </c>
    </row>
    <row r="71" spans="1:15" ht="14.4" thickBot="1" x14ac:dyDescent="0.3">
      <c r="A71" s="136" t="s">
        <v>333</v>
      </c>
    </row>
    <row r="72" spans="1:15" x14ac:dyDescent="0.25">
      <c r="A72" s="368" t="s">
        <v>91</v>
      </c>
      <c r="B72" s="473" t="s">
        <v>313</v>
      </c>
      <c r="C72" s="473"/>
      <c r="D72" s="473"/>
      <c r="E72" s="473"/>
      <c r="F72" s="473"/>
      <c r="G72" s="470" t="s">
        <v>323</v>
      </c>
      <c r="H72" s="470"/>
      <c r="I72" s="470"/>
      <c r="J72" s="470" t="s">
        <v>325</v>
      </c>
      <c r="K72" s="470"/>
      <c r="L72" s="470"/>
      <c r="M72" s="470" t="s">
        <v>326</v>
      </c>
      <c r="N72" s="470"/>
      <c r="O72" s="475"/>
    </row>
    <row r="73" spans="1:15" x14ac:dyDescent="0.25">
      <c r="A73" s="160" t="str">
        <f>Current!I1</f>
        <v>Use Case</v>
      </c>
      <c r="B73" s="161" t="str">
        <f>Current!J1</f>
        <v>Count</v>
      </c>
      <c r="C73" s="161" t="str">
        <f>Current!K1</f>
        <v>Share</v>
      </c>
      <c r="D73" s="370" t="s">
        <v>7</v>
      </c>
      <c r="E73" s="370" t="s">
        <v>76</v>
      </c>
      <c r="F73" s="370" t="s">
        <v>6</v>
      </c>
      <c r="G73" s="370" t="s">
        <v>7</v>
      </c>
      <c r="H73" s="370" t="s">
        <v>76</v>
      </c>
      <c r="I73" s="370" t="s">
        <v>6</v>
      </c>
      <c r="J73" s="370" t="s">
        <v>7</v>
      </c>
      <c r="K73" s="370" t="s">
        <v>76</v>
      </c>
      <c r="L73" s="370" t="s">
        <v>6</v>
      </c>
      <c r="M73" s="370" t="s">
        <v>7</v>
      </c>
      <c r="N73" s="370" t="s">
        <v>76</v>
      </c>
      <c r="O73" s="186" t="s">
        <v>6</v>
      </c>
    </row>
    <row r="74" spans="1:15" x14ac:dyDescent="0.25">
      <c r="A74" s="160" t="str">
        <f>Current!I2</f>
        <v>Human Space Flight</v>
      </c>
      <c r="B74" s="157">
        <f>Current!W2</f>
        <v>16</v>
      </c>
      <c r="C74" s="139">
        <f t="shared" ref="C74:C79" si="30">B74/$B$38</f>
        <v>0.25396825396825395</v>
      </c>
      <c r="D74" s="166">
        <f t="shared" ref="D74:F80" si="31">ROUND($B74*(1+I$53),0)</f>
        <v>13</v>
      </c>
      <c r="E74" s="166">
        <f t="shared" si="31"/>
        <v>19</v>
      </c>
      <c r="F74" s="166">
        <f t="shared" si="31"/>
        <v>25</v>
      </c>
      <c r="G74" s="182">
        <f>D74*Current!$L$13</f>
        <v>212377.53333333333</v>
      </c>
      <c r="H74" s="182">
        <f>E74*Current!$L$13</f>
        <v>310397.93333333335</v>
      </c>
      <c r="I74" s="182">
        <f>F74*Current!$L$13</f>
        <v>408418.33333333331</v>
      </c>
      <c r="J74" s="182">
        <f>G74*$O$7</f>
        <v>8495101.3333333321</v>
      </c>
      <c r="K74" s="182">
        <f t="shared" ref="K74:L74" si="32">H74*$O$7</f>
        <v>12415917.333333334</v>
      </c>
      <c r="L74" s="182">
        <f t="shared" si="32"/>
        <v>16336733.333333332</v>
      </c>
      <c r="M74" s="182">
        <f>J74+(J74/POWER(1+(Future_Cost!$B$96/100),1))+(J74/POWER(1+(Future_Cost!$B$96/100),2))+(J74/POWER(1+(Future_Cost!$B$96/100),3))+(J74/POWER(1+(Future_Cost!$B$96/100),4))</f>
        <v>40072228.931178905</v>
      </c>
      <c r="N74" s="182">
        <f>K74+(K74/POWER(1+(Future_Cost!$B$96/100),1))+(K74/POWER(1+(Future_Cost!$B$96/100),2))+(K74/POWER(1+(Future_Cost!$B$96/100),3))+(K74/POWER(1+(Future_Cost!$B$96/100),4))</f>
        <v>58567103.822492257</v>
      </c>
      <c r="O74" s="183">
        <f>L74+(L74/POWER(1+(Future_Cost!$B$96/100),1))+(L74/POWER(1+(Future_Cost!$B$96/100),2))+(L74/POWER(1+(Future_Cost!$B$96/100),3))+(L74/POWER(1+(Future_Cost!$B$96/100),4))</f>
        <v>77061978.713805586</v>
      </c>
    </row>
    <row r="75" spans="1:15" x14ac:dyDescent="0.25">
      <c r="A75" s="160" t="str">
        <f>Current!I3</f>
        <v>Near Earth Robotic - LEO Science</v>
      </c>
      <c r="B75" s="157">
        <f>Current!W3</f>
        <v>25</v>
      </c>
      <c r="C75" s="139">
        <f t="shared" si="30"/>
        <v>0.3968253968253968</v>
      </c>
      <c r="D75" s="166">
        <f t="shared" si="31"/>
        <v>20</v>
      </c>
      <c r="E75" s="166">
        <f t="shared" si="31"/>
        <v>30</v>
      </c>
      <c r="F75" s="166">
        <f t="shared" si="31"/>
        <v>39</v>
      </c>
      <c r="G75" s="182">
        <f>D75*Current!$L$13</f>
        <v>326734.66666666669</v>
      </c>
      <c r="H75" s="182">
        <f>E75*Current!$L$13</f>
        <v>490102</v>
      </c>
      <c r="I75" s="182">
        <f>F75*Current!$L$13</f>
        <v>637132.6</v>
      </c>
      <c r="J75" s="182">
        <f t="shared" ref="J75:J80" si="33">G75*$O$7</f>
        <v>13069386.666666668</v>
      </c>
      <c r="K75" s="182">
        <f t="shared" ref="K75:K80" si="34">H75*$O$7</f>
        <v>19604080</v>
      </c>
      <c r="L75" s="182">
        <f t="shared" ref="L75:L80" si="35">I75*$O$7</f>
        <v>25485304</v>
      </c>
      <c r="M75" s="182">
        <f>J75+(J75/POWER(1+(Future_Cost!$B$96/100),1))+(J75/POWER(1+(Future_Cost!$B$96/100),2))+(J75/POWER(1+(Future_Cost!$B$96/100),3))+(J75/POWER(1+(Future_Cost!$B$96/100),4))</f>
        <v>61649582.971044481</v>
      </c>
      <c r="N75" s="182">
        <f>K75+(K75/POWER(1+(Future_Cost!$B$96/100),1))+(K75/POWER(1+(Future_Cost!$B$96/100),2))+(K75/POWER(1+(Future_Cost!$B$96/100),3))+(K75/POWER(1+(Future_Cost!$B$96/100),4))</f>
        <v>92474374.456566721</v>
      </c>
      <c r="O75" s="183">
        <f>L75+(L75/POWER(1+(Future_Cost!$B$96/100),1))+(L75/POWER(1+(Future_Cost!$B$96/100),2))+(L75/POWER(1+(Future_Cost!$B$96/100),3))+(L75/POWER(1+(Future_Cost!$B$96/100),4))</f>
        <v>120216686.79353674</v>
      </c>
    </row>
    <row r="76" spans="1:15" x14ac:dyDescent="0.25">
      <c r="A76" s="160" t="str">
        <f>Current!I4</f>
        <v>Near Earth Robotic - GEO and Near Earth</v>
      </c>
      <c r="B76" s="157">
        <f>Current!W4</f>
        <v>4</v>
      </c>
      <c r="C76" s="139">
        <f t="shared" si="30"/>
        <v>6.3492063492063489E-2</v>
      </c>
      <c r="D76" s="166">
        <f t="shared" si="31"/>
        <v>3</v>
      </c>
      <c r="E76" s="166">
        <f t="shared" si="31"/>
        <v>5</v>
      </c>
      <c r="F76" s="166">
        <f t="shared" si="31"/>
        <v>6</v>
      </c>
      <c r="G76" s="182">
        <f>D76*Current!$L$13</f>
        <v>49010.2</v>
      </c>
      <c r="H76" s="182">
        <f>E76*Current!$L$13</f>
        <v>81683.666666666672</v>
      </c>
      <c r="I76" s="182">
        <f>F76*Current!$L$13</f>
        <v>98020.4</v>
      </c>
      <c r="J76" s="182">
        <f t="shared" si="33"/>
        <v>1960408</v>
      </c>
      <c r="K76" s="182">
        <f t="shared" si="34"/>
        <v>3267346.666666667</v>
      </c>
      <c r="L76" s="182">
        <f t="shared" si="35"/>
        <v>3920816</v>
      </c>
      <c r="M76" s="182">
        <f>J76+(J76/POWER(1+(Future_Cost!$B$96/100),1))+(J76/POWER(1+(Future_Cost!$B$96/100),2))+(J76/POWER(1+(Future_Cost!$B$96/100),3))+(J76/POWER(1+(Future_Cost!$B$96/100),4))</f>
        <v>9247437.4456566721</v>
      </c>
      <c r="N76" s="182">
        <f>K76+(K76/POWER(1+(Future_Cost!$B$96/100),1))+(K76/POWER(1+(Future_Cost!$B$96/100),2))+(K76/POWER(1+(Future_Cost!$B$96/100),3))+(K76/POWER(1+(Future_Cost!$B$96/100),4))</f>
        <v>15412395.74276112</v>
      </c>
      <c r="O76" s="183">
        <f>L76+(L76/POWER(1+(Future_Cost!$B$96/100),1))+(L76/POWER(1+(Future_Cost!$B$96/100),2))+(L76/POWER(1+(Future_Cost!$B$96/100),3))+(L76/POWER(1+(Future_Cost!$B$96/100),4))</f>
        <v>18494874.891313344</v>
      </c>
    </row>
    <row r="77" spans="1:15" x14ac:dyDescent="0.25">
      <c r="A77" s="160" t="str">
        <f>Current!I5</f>
        <v>Deep Space Robotic</v>
      </c>
      <c r="B77" s="157">
        <f>Current!W5</f>
        <v>1</v>
      </c>
      <c r="C77" s="139">
        <f t="shared" si="30"/>
        <v>1.5873015873015872E-2</v>
      </c>
      <c r="D77" s="166">
        <f t="shared" si="31"/>
        <v>1</v>
      </c>
      <c r="E77" s="166">
        <f t="shared" si="31"/>
        <v>1</v>
      </c>
      <c r="F77" s="166">
        <f t="shared" si="31"/>
        <v>2</v>
      </c>
      <c r="G77" s="182">
        <f>D77*Current!$L$13</f>
        <v>16336.733333333334</v>
      </c>
      <c r="H77" s="182">
        <f>E77*Current!$L$13</f>
        <v>16336.733333333334</v>
      </c>
      <c r="I77" s="182">
        <f>F77*Current!$L$13</f>
        <v>32673.466666666667</v>
      </c>
      <c r="J77" s="182">
        <f t="shared" si="33"/>
        <v>653469.33333333337</v>
      </c>
      <c r="K77" s="182">
        <f t="shared" si="34"/>
        <v>653469.33333333337</v>
      </c>
      <c r="L77" s="182">
        <f t="shared" si="35"/>
        <v>1306938.6666666667</v>
      </c>
      <c r="M77" s="182">
        <f>J77+(J77/POWER(1+(Future_Cost!$B$96/100),1))+(J77/POWER(1+(Future_Cost!$B$96/100),2))+(J77/POWER(1+(Future_Cost!$B$96/100),3))+(J77/POWER(1+(Future_Cost!$B$96/100),4))</f>
        <v>3082479.148552224</v>
      </c>
      <c r="N77" s="182">
        <f>K77+(K77/POWER(1+(Future_Cost!$B$96/100),1))+(K77/POWER(1+(Future_Cost!$B$96/100),2))+(K77/POWER(1+(Future_Cost!$B$96/100),3))+(K77/POWER(1+(Future_Cost!$B$96/100),4))</f>
        <v>3082479.148552224</v>
      </c>
      <c r="O77" s="183">
        <f>L77+(L77/POWER(1+(Future_Cost!$B$96/100),1))+(L77/POWER(1+(Future_Cost!$B$96/100),2))+(L77/POWER(1+(Future_Cost!$B$96/100),3))+(L77/POWER(1+(Future_Cost!$B$96/100),4))</f>
        <v>6164958.2971044481</v>
      </c>
    </row>
    <row r="78" spans="1:15" x14ac:dyDescent="0.25">
      <c r="A78" s="160" t="str">
        <f>Current!I6</f>
        <v>Near Earth Robotic - Low Latency &amp; Complex Needs</v>
      </c>
      <c r="B78" s="157">
        <f>Current!W6</f>
        <v>2</v>
      </c>
      <c r="C78" s="139">
        <f t="shared" si="30"/>
        <v>3.1746031746031744E-2</v>
      </c>
      <c r="D78" s="166">
        <f t="shared" si="31"/>
        <v>2</v>
      </c>
      <c r="E78" s="166">
        <f t="shared" si="31"/>
        <v>2</v>
      </c>
      <c r="F78" s="166">
        <f t="shared" si="31"/>
        <v>3</v>
      </c>
      <c r="G78" s="182">
        <f>D78*Current!$L$13</f>
        <v>32673.466666666667</v>
      </c>
      <c r="H78" s="182">
        <f>E78*Current!$L$13</f>
        <v>32673.466666666667</v>
      </c>
      <c r="I78" s="182">
        <f>F78*Current!$L$13</f>
        <v>49010.2</v>
      </c>
      <c r="J78" s="182">
        <f t="shared" si="33"/>
        <v>1306938.6666666667</v>
      </c>
      <c r="K78" s="182">
        <f t="shared" si="34"/>
        <v>1306938.6666666667</v>
      </c>
      <c r="L78" s="182">
        <f t="shared" si="35"/>
        <v>1960408</v>
      </c>
      <c r="M78" s="182">
        <f>J78+(J78/POWER(1+(Future_Cost!$B$96/100),1))+(J78/POWER(1+(Future_Cost!$B$96/100),2))+(J78/POWER(1+(Future_Cost!$B$96/100),3))+(J78/POWER(1+(Future_Cost!$B$96/100),4))</f>
        <v>6164958.2971044481</v>
      </c>
      <c r="N78" s="182">
        <f>K78+(K78/POWER(1+(Future_Cost!$B$96/100),1))+(K78/POWER(1+(Future_Cost!$B$96/100),2))+(K78/POWER(1+(Future_Cost!$B$96/100),3))+(K78/POWER(1+(Future_Cost!$B$96/100),4))</f>
        <v>6164958.2971044481</v>
      </c>
      <c r="O78" s="183">
        <f>L78+(L78/POWER(1+(Future_Cost!$B$96/100),1))+(L78/POWER(1+(Future_Cost!$B$96/100),2))+(L78/POWER(1+(Future_Cost!$B$96/100),3))+(L78/POWER(1+(Future_Cost!$B$96/100),4))</f>
        <v>9247437.4456566721</v>
      </c>
    </row>
    <row r="79" spans="1:15" x14ac:dyDescent="0.25">
      <c r="A79" s="160" t="str">
        <f>Current!I7</f>
        <v>Mission Operations</v>
      </c>
      <c r="B79" s="157">
        <f>Current!W7</f>
        <v>0</v>
      </c>
      <c r="C79" s="139">
        <f t="shared" si="30"/>
        <v>0</v>
      </c>
      <c r="D79" s="166">
        <f t="shared" si="31"/>
        <v>0</v>
      </c>
      <c r="E79" s="166">
        <f t="shared" si="31"/>
        <v>0</v>
      </c>
      <c r="F79" s="166">
        <f t="shared" si="31"/>
        <v>0</v>
      </c>
      <c r="G79" s="182">
        <f>D79*Current!$L$13</f>
        <v>0</v>
      </c>
      <c r="H79" s="182">
        <f>E79*Current!$L$13</f>
        <v>0</v>
      </c>
      <c r="I79" s="182">
        <f>F79*Current!$L$13</f>
        <v>0</v>
      </c>
      <c r="J79" s="182">
        <f t="shared" si="33"/>
        <v>0</v>
      </c>
      <c r="K79" s="182">
        <f t="shared" si="34"/>
        <v>0</v>
      </c>
      <c r="L79" s="182">
        <f t="shared" si="35"/>
        <v>0</v>
      </c>
      <c r="M79" s="182">
        <f>J79+(J79/POWER(1+(Future_Cost!$B$96/100),1))+(J79/POWER(1+(Future_Cost!$B$96/100),2))+(J79/POWER(1+(Future_Cost!$B$96/100),3))+(J79/POWER(1+(Future_Cost!$B$96/100),4))</f>
        <v>0</v>
      </c>
      <c r="N79" s="182">
        <f>K79+(K79/POWER(1+(Future_Cost!$B$96/100),1))+(K79/POWER(1+(Future_Cost!$B$96/100),2))+(K79/POWER(1+(Future_Cost!$B$96/100),3))+(K79/POWER(1+(Future_Cost!$B$96/100),4))</f>
        <v>0</v>
      </c>
      <c r="O79" s="183">
        <f>L79+(L79/POWER(1+(Future_Cost!$B$96/100),1))+(L79/POWER(1+(Future_Cost!$B$96/100),2))+(L79/POWER(1+(Future_Cost!$B$96/100),3))+(L79/POWER(1+(Future_Cost!$B$96/100),4))</f>
        <v>0</v>
      </c>
    </row>
    <row r="80" spans="1:15" x14ac:dyDescent="0.25">
      <c r="A80" s="160" t="str">
        <f>Current!I9</f>
        <v>Terrestrial &amp; Aerial</v>
      </c>
      <c r="B80" s="157">
        <f>Current!W9</f>
        <v>15</v>
      </c>
      <c r="C80" s="139">
        <f>B80/$B$38</f>
        <v>0.23809523809523808</v>
      </c>
      <c r="D80" s="166">
        <f t="shared" si="31"/>
        <v>12</v>
      </c>
      <c r="E80" s="166">
        <f t="shared" si="31"/>
        <v>18</v>
      </c>
      <c r="F80" s="166">
        <f t="shared" si="31"/>
        <v>23</v>
      </c>
      <c r="G80" s="182">
        <f>D80*Current!$L$13</f>
        <v>196040.8</v>
      </c>
      <c r="H80" s="182">
        <f>E80*Current!$L$13</f>
        <v>294061.2</v>
      </c>
      <c r="I80" s="182">
        <f>F80*Current!$L$13</f>
        <v>375744.8666666667</v>
      </c>
      <c r="J80" s="182">
        <f t="shared" si="33"/>
        <v>7841632</v>
      </c>
      <c r="K80" s="182">
        <f t="shared" si="34"/>
        <v>11762448</v>
      </c>
      <c r="L80" s="182">
        <f t="shared" si="35"/>
        <v>15029794.666666668</v>
      </c>
      <c r="M80" s="182">
        <f>J80+(J80/POWER(1+(Future_Cost!$B$96/100),1))+(J80/POWER(1+(Future_Cost!$B$96/100),2))+(J80/POWER(1+(Future_Cost!$B$96/100),3))+(J80/POWER(1+(Future_Cost!$B$96/100),4))</f>
        <v>36989749.782626688</v>
      </c>
      <c r="N80" s="182">
        <f>K80+(K80/POWER(1+(Future_Cost!$B$96/100),1))+(K80/POWER(1+(Future_Cost!$B$96/100),2))+(K80/POWER(1+(Future_Cost!$B$96/100),3))+(K80/POWER(1+(Future_Cost!$B$96/100),4))</f>
        <v>55484624.673940033</v>
      </c>
      <c r="O80" s="183">
        <f>L80+(L80/POWER(1+(Future_Cost!$B$96/100),1))+(L80/POWER(1+(Future_Cost!$B$96/100),2))+(L80/POWER(1+(Future_Cost!$B$96/100),3))+(L80/POWER(1+(Future_Cost!$B$96/100),4))</f>
        <v>70897020.416701153</v>
      </c>
    </row>
    <row r="81" spans="1:15" ht="15.6" thickBot="1" x14ac:dyDescent="0.3">
      <c r="A81" s="159" t="s">
        <v>312</v>
      </c>
      <c r="B81" s="155">
        <f>SUM(B74:B79,B80)</f>
        <v>63</v>
      </c>
      <c r="C81" s="456">
        <f>SUM(C74:C80)</f>
        <v>0.99999999999999978</v>
      </c>
      <c r="D81" s="167">
        <f t="shared" ref="D81:O81" si="36">SUM(D74:D80)</f>
        <v>51</v>
      </c>
      <c r="E81" s="167">
        <f t="shared" si="36"/>
        <v>75</v>
      </c>
      <c r="F81" s="167">
        <f t="shared" si="36"/>
        <v>98</v>
      </c>
      <c r="G81" s="167">
        <f t="shared" si="36"/>
        <v>833173.39999999991</v>
      </c>
      <c r="H81" s="167">
        <f t="shared" si="36"/>
        <v>1225255</v>
      </c>
      <c r="I81" s="167">
        <f t="shared" si="36"/>
        <v>1600999.8666666665</v>
      </c>
      <c r="J81" s="167">
        <f t="shared" si="36"/>
        <v>33326936</v>
      </c>
      <c r="K81" s="167">
        <f t="shared" si="36"/>
        <v>49010200</v>
      </c>
      <c r="L81" s="167">
        <f t="shared" si="36"/>
        <v>64039994.666666657</v>
      </c>
      <c r="M81" s="167">
        <f t="shared" si="36"/>
        <v>157206436.57616341</v>
      </c>
      <c r="N81" s="167">
        <f t="shared" si="36"/>
        <v>231185936.14141685</v>
      </c>
      <c r="O81" s="168">
        <f t="shared" si="36"/>
        <v>302082956.55811793</v>
      </c>
    </row>
    <row r="83" spans="1:15" ht="14.4" customHeight="1" x14ac:dyDescent="0.25"/>
    <row r="84" spans="1:15" s="194" customFormat="1" x14ac:dyDescent="0.25"/>
    <row r="85" spans="1:15" ht="14.4" thickBot="1" x14ac:dyDescent="0.3">
      <c r="A85" s="136" t="s">
        <v>165</v>
      </c>
    </row>
    <row r="86" spans="1:15" x14ac:dyDescent="0.25">
      <c r="A86" s="462" t="s">
        <v>166</v>
      </c>
      <c r="B86" s="463"/>
      <c r="C86" s="463"/>
      <c r="D86" s="464"/>
      <c r="E86" s="60"/>
    </row>
    <row r="87" spans="1:15" x14ac:dyDescent="0.25">
      <c r="A87" s="369" t="s">
        <v>5</v>
      </c>
      <c r="B87" s="370" t="s">
        <v>8</v>
      </c>
      <c r="C87" s="370" t="s">
        <v>9</v>
      </c>
      <c r="D87" s="141" t="s">
        <v>98</v>
      </c>
    </row>
    <row r="88" spans="1:15" x14ac:dyDescent="0.25">
      <c r="A88" s="381" t="s">
        <v>89</v>
      </c>
      <c r="B88" s="15" t="s">
        <v>90</v>
      </c>
      <c r="C88" s="15">
        <v>2</v>
      </c>
      <c r="D88" s="16" t="s">
        <v>99</v>
      </c>
    </row>
    <row r="89" spans="1:15" ht="27.6" x14ac:dyDescent="0.25">
      <c r="A89" s="381" t="s">
        <v>97</v>
      </c>
      <c r="B89" s="15" t="s">
        <v>90</v>
      </c>
      <c r="C89" s="15">
        <v>63.7</v>
      </c>
      <c r="D89" s="204" t="s">
        <v>100</v>
      </c>
    </row>
    <row r="90" spans="1:15" x14ac:dyDescent="0.25">
      <c r="A90" s="381" t="s">
        <v>156</v>
      </c>
      <c r="B90" s="15" t="s">
        <v>101</v>
      </c>
      <c r="C90" s="15">
        <v>500</v>
      </c>
      <c r="D90" s="16" t="s">
        <v>99</v>
      </c>
    </row>
    <row r="91" spans="1:15" ht="15.6" thickBot="1" x14ac:dyDescent="0.3">
      <c r="A91" s="383" t="s">
        <v>157</v>
      </c>
      <c r="B91" s="17" t="s">
        <v>90</v>
      </c>
      <c r="C91" s="456">
        <v>0.5</v>
      </c>
      <c r="D91" s="143" t="s">
        <v>99</v>
      </c>
    </row>
    <row r="92" spans="1:15" ht="15" x14ac:dyDescent="0.25">
      <c r="D92" s="457"/>
    </row>
    <row r="94" spans="1:15" ht="14.4" thickBot="1" x14ac:dyDescent="0.3"/>
    <row r="95" spans="1:15" ht="27.6" x14ac:dyDescent="0.25">
      <c r="A95" s="362" t="s">
        <v>334</v>
      </c>
      <c r="B95" s="363" t="s">
        <v>9</v>
      </c>
      <c r="C95" s="363" t="s">
        <v>8</v>
      </c>
      <c r="D95" s="363" t="s">
        <v>149</v>
      </c>
      <c r="E95" s="377" t="s">
        <v>153</v>
      </c>
      <c r="F95" s="198" t="s">
        <v>154</v>
      </c>
      <c r="G95" s="198" t="s">
        <v>155</v>
      </c>
      <c r="H95" s="199" t="s">
        <v>98</v>
      </c>
      <c r="J95" s="2"/>
      <c r="K95" s="2"/>
    </row>
    <row r="96" spans="1:15" ht="14.4" thickBot="1" x14ac:dyDescent="0.3">
      <c r="A96" s="200" t="s">
        <v>148</v>
      </c>
      <c r="B96" s="201">
        <v>3</v>
      </c>
      <c r="C96" s="201" t="s">
        <v>152</v>
      </c>
      <c r="D96" s="201" t="s">
        <v>10</v>
      </c>
      <c r="E96" s="201" t="s">
        <v>10</v>
      </c>
      <c r="F96" s="201" t="s">
        <v>5</v>
      </c>
      <c r="G96" s="201" t="s">
        <v>10</v>
      </c>
      <c r="H96" s="202" t="s">
        <v>99</v>
      </c>
      <c r="J96" s="2"/>
      <c r="K96" s="2"/>
    </row>
    <row r="99" spans="1:17" s="194" customFormat="1" x14ac:dyDescent="0.25"/>
    <row r="100" spans="1:17" ht="14.4" thickBot="1" x14ac:dyDescent="0.3"/>
    <row r="101" spans="1:17" ht="14.4" customHeight="1" x14ac:dyDescent="0.25">
      <c r="A101" s="462" t="s">
        <v>323</v>
      </c>
      <c r="B101" s="463"/>
      <c r="C101" s="463"/>
      <c r="D101" s="463"/>
      <c r="E101" s="464"/>
      <c r="G101" s="462" t="s">
        <v>324</v>
      </c>
      <c r="H101" s="463"/>
      <c r="I101" s="463"/>
      <c r="J101" s="463"/>
      <c r="K101" s="464"/>
      <c r="M101" s="462" t="s">
        <v>337</v>
      </c>
      <c r="N101" s="463"/>
      <c r="O101" s="463"/>
      <c r="P101" s="463"/>
      <c r="Q101" s="464"/>
    </row>
    <row r="102" spans="1:17" ht="13.8" customHeight="1" x14ac:dyDescent="0.25">
      <c r="A102" s="381" t="s">
        <v>338</v>
      </c>
      <c r="B102" s="382" t="s">
        <v>339</v>
      </c>
      <c r="C102" s="370" t="s">
        <v>7</v>
      </c>
      <c r="D102" s="370" t="s">
        <v>76</v>
      </c>
      <c r="E102" s="186" t="s">
        <v>6</v>
      </c>
      <c r="G102" s="381" t="s">
        <v>338</v>
      </c>
      <c r="H102" s="382" t="s">
        <v>339</v>
      </c>
      <c r="I102" s="370" t="s">
        <v>7</v>
      </c>
      <c r="J102" s="370" t="s">
        <v>76</v>
      </c>
      <c r="K102" s="186" t="s">
        <v>6</v>
      </c>
      <c r="M102" s="381" t="s">
        <v>338</v>
      </c>
      <c r="N102" s="382" t="s">
        <v>339</v>
      </c>
      <c r="O102" s="370" t="s">
        <v>7</v>
      </c>
      <c r="P102" s="370" t="s">
        <v>76</v>
      </c>
      <c r="Q102" s="186" t="s">
        <v>6</v>
      </c>
    </row>
    <row r="103" spans="1:17" ht="27.6" x14ac:dyDescent="0.25">
      <c r="A103" s="465" t="s">
        <v>335</v>
      </c>
      <c r="B103" s="378" t="s">
        <v>340</v>
      </c>
      <c r="C103" s="203">
        <f>G26</f>
        <v>800499.93333333335</v>
      </c>
      <c r="D103" s="203">
        <f>H26</f>
        <v>1110897.8666666667</v>
      </c>
      <c r="E103" s="203">
        <f>I26</f>
        <v>1388622.3333333333</v>
      </c>
      <c r="G103" s="465" t="s">
        <v>335</v>
      </c>
      <c r="H103" s="378" t="s">
        <v>340</v>
      </c>
      <c r="I103" s="203">
        <f>J26</f>
        <v>12007499</v>
      </c>
      <c r="J103" s="203">
        <f>K26</f>
        <v>16663468</v>
      </c>
      <c r="K103" s="203">
        <f>L26</f>
        <v>20829335</v>
      </c>
      <c r="M103" s="465" t="s">
        <v>335</v>
      </c>
      <c r="N103" s="378" t="s">
        <v>340</v>
      </c>
      <c r="O103" s="203">
        <f>M26</f>
        <v>56640554.354647115</v>
      </c>
      <c r="P103" s="203">
        <f>N26</f>
        <v>78603218.288081706</v>
      </c>
      <c r="Q103" s="205">
        <f>O26</f>
        <v>98254022.860102132</v>
      </c>
    </row>
    <row r="104" spans="1:17" ht="27.6" x14ac:dyDescent="0.25">
      <c r="A104" s="465"/>
      <c r="B104" s="378" t="s">
        <v>341</v>
      </c>
      <c r="C104" s="203">
        <f>G38</f>
        <v>5259742.9230769239</v>
      </c>
      <c r="D104" s="203">
        <f>H38</f>
        <v>7191893.384615385</v>
      </c>
      <c r="E104" s="203">
        <f>I38</f>
        <v>9124043.8461538479</v>
      </c>
      <c r="G104" s="465"/>
      <c r="H104" s="378" t="s">
        <v>341</v>
      </c>
      <c r="I104" s="203">
        <f>J38</f>
        <v>210389716.92307693</v>
      </c>
      <c r="J104" s="203">
        <f>K38</f>
        <v>287675735.38461536</v>
      </c>
      <c r="K104" s="203">
        <f>L38</f>
        <v>364961753.84615386</v>
      </c>
      <c r="M104" s="465"/>
      <c r="N104" s="378" t="s">
        <v>341</v>
      </c>
      <c r="O104" s="203">
        <f>M38</f>
        <v>992428997.66557205</v>
      </c>
      <c r="P104" s="203">
        <f>N38</f>
        <v>1356994751.9100678</v>
      </c>
      <c r="Q104" s="205">
        <f>O38</f>
        <v>1721560506.1545639</v>
      </c>
    </row>
    <row r="105" spans="1:17" ht="27.6" customHeight="1" x14ac:dyDescent="0.25">
      <c r="A105" s="465"/>
      <c r="B105" s="378" t="s">
        <v>342</v>
      </c>
      <c r="C105" s="203">
        <f>G45</f>
        <v>2146833.846153846</v>
      </c>
      <c r="D105" s="203">
        <f>H45</f>
        <v>3434934.153846154</v>
      </c>
      <c r="E105" s="203">
        <f>I45</f>
        <v>4830376.153846154</v>
      </c>
      <c r="G105" s="465"/>
      <c r="H105" s="378" t="s">
        <v>342</v>
      </c>
      <c r="I105" s="203">
        <f>J45</f>
        <v>85873353.84615384</v>
      </c>
      <c r="J105" s="203">
        <f>K45</f>
        <v>137397366.15384614</v>
      </c>
      <c r="K105" s="203">
        <f>L45</f>
        <v>193215046.15384614</v>
      </c>
      <c r="M105" s="465"/>
      <c r="N105" s="378" t="s">
        <v>342</v>
      </c>
      <c r="O105" s="203">
        <f>M45</f>
        <v>405073060.271662</v>
      </c>
      <c r="P105" s="203">
        <f>N45</f>
        <v>648116896.43465924</v>
      </c>
      <c r="Q105" s="205">
        <f>O45</f>
        <v>911414385.61123955</v>
      </c>
    </row>
    <row r="106" spans="1:17" ht="27.6" x14ac:dyDescent="0.25">
      <c r="A106" s="465" t="s">
        <v>336</v>
      </c>
      <c r="B106" s="378" t="s">
        <v>343</v>
      </c>
      <c r="C106" s="203">
        <f>G69</f>
        <v>653469.33333333326</v>
      </c>
      <c r="D106" s="203">
        <f>H69</f>
        <v>947530.53333333344</v>
      </c>
      <c r="E106" s="203">
        <f>I69</f>
        <v>1241591.7333333334</v>
      </c>
      <c r="G106" s="465" t="s">
        <v>336</v>
      </c>
      <c r="H106" s="378" t="s">
        <v>343</v>
      </c>
      <c r="I106" s="203">
        <f>J69</f>
        <v>9802040</v>
      </c>
      <c r="J106" s="203">
        <f>K69</f>
        <v>14212958</v>
      </c>
      <c r="K106" s="203">
        <f>L69</f>
        <v>18623876</v>
      </c>
      <c r="M106" s="465" t="s">
        <v>336</v>
      </c>
      <c r="N106" s="378" t="s">
        <v>343</v>
      </c>
      <c r="O106" s="203">
        <f>M69</f>
        <v>46237187.228283361</v>
      </c>
      <c r="P106" s="203">
        <f>N69</f>
        <v>67043921.481010869</v>
      </c>
      <c r="Q106" s="205">
        <f>O69</f>
        <v>87850655.733738378</v>
      </c>
    </row>
    <row r="107" spans="1:17" ht="28.2" thickBot="1" x14ac:dyDescent="0.3">
      <c r="A107" s="474"/>
      <c r="B107" s="206" t="s">
        <v>344</v>
      </c>
      <c r="C107" s="207">
        <f>G81</f>
        <v>833173.39999999991</v>
      </c>
      <c r="D107" s="207">
        <f>H81</f>
        <v>1225255</v>
      </c>
      <c r="E107" s="207">
        <f>I81</f>
        <v>1600999.8666666665</v>
      </c>
      <c r="G107" s="474"/>
      <c r="H107" s="206" t="s">
        <v>344</v>
      </c>
      <c r="I107" s="207">
        <f>J81</f>
        <v>33326936</v>
      </c>
      <c r="J107" s="207">
        <f>K81</f>
        <v>49010200</v>
      </c>
      <c r="K107" s="207">
        <f>L81</f>
        <v>64039994.666666657</v>
      </c>
      <c r="M107" s="474"/>
      <c r="N107" s="206" t="s">
        <v>344</v>
      </c>
      <c r="O107" s="207">
        <f>M81</f>
        <v>157206436.57616341</v>
      </c>
      <c r="P107" s="207">
        <f>N81</f>
        <v>231185936.14141685</v>
      </c>
      <c r="Q107" s="208">
        <f>O81</f>
        <v>302082956.55811793</v>
      </c>
    </row>
    <row r="108" spans="1:17" ht="14.4" thickBot="1" x14ac:dyDescent="0.3"/>
    <row r="109" spans="1:17" ht="14.4" thickBot="1" x14ac:dyDescent="0.3">
      <c r="A109" s="471" t="s">
        <v>84</v>
      </c>
      <c r="B109" s="472"/>
      <c r="C109" s="209">
        <f>SUM(C103:C107)</f>
        <v>9693719.4358974379</v>
      </c>
      <c r="D109" s="209">
        <f>SUM(D103:D107)</f>
        <v>13910510.938461538</v>
      </c>
      <c r="E109" s="210">
        <f>SUM(E103:E107)</f>
        <v>18185633.933333337</v>
      </c>
      <c r="G109" s="471" t="s">
        <v>84</v>
      </c>
      <c r="H109" s="472"/>
      <c r="I109" s="209">
        <f>SUM(I103:I107)</f>
        <v>351399545.76923078</v>
      </c>
      <c r="J109" s="209">
        <f>SUM(J103:J107)</f>
        <v>504959727.53846151</v>
      </c>
      <c r="K109" s="210">
        <f>SUM(K103:K107)</f>
        <v>661670005.66666663</v>
      </c>
      <c r="M109" s="471" t="s">
        <v>84</v>
      </c>
      <c r="N109" s="472"/>
      <c r="O109" s="209">
        <f>SUM(O103:O107)</f>
        <v>1657586236.0963278</v>
      </c>
      <c r="P109" s="209">
        <f>SUM(P103:P107)</f>
        <v>2381944724.2552366</v>
      </c>
      <c r="Q109" s="210">
        <f>SUM(Q103:Q107)</f>
        <v>3121162526.9177618</v>
      </c>
    </row>
    <row r="112" spans="1:17" ht="14.4" x14ac:dyDescent="0.3">
      <c r="B112"/>
      <c r="C112"/>
      <c r="D112"/>
      <c r="E112"/>
    </row>
    <row r="113" spans="2:5" ht="14.4" x14ac:dyDescent="0.3">
      <c r="B113"/>
      <c r="C113"/>
      <c r="D113"/>
      <c r="E113"/>
    </row>
    <row r="114" spans="2:5" ht="14.4" x14ac:dyDescent="0.3">
      <c r="B114"/>
      <c r="C114"/>
      <c r="D114"/>
      <c r="E114"/>
    </row>
    <row r="115" spans="2:5" ht="14.4" x14ac:dyDescent="0.3">
      <c r="B115"/>
      <c r="C115"/>
      <c r="D115"/>
      <c r="E115"/>
    </row>
    <row r="116" spans="2:5" ht="14.4" x14ac:dyDescent="0.3">
      <c r="B116"/>
      <c r="C116"/>
      <c r="D116"/>
      <c r="E116"/>
    </row>
    <row r="117" spans="2:5" ht="14.4" x14ac:dyDescent="0.3">
      <c r="B117"/>
      <c r="C117"/>
      <c r="D117"/>
      <c r="E117"/>
    </row>
    <row r="118" spans="2:5" ht="14.4" x14ac:dyDescent="0.3">
      <c r="B118"/>
      <c r="C118"/>
      <c r="D118"/>
      <c r="E118"/>
    </row>
    <row r="151" spans="9:13" x14ac:dyDescent="0.25">
      <c r="I151" s="2"/>
      <c r="J151" s="2"/>
      <c r="K151" s="2"/>
      <c r="L151" s="2"/>
      <c r="M151" s="2"/>
    </row>
    <row r="152" spans="9:13" x14ac:dyDescent="0.25">
      <c r="I152" s="2"/>
      <c r="J152" s="2"/>
      <c r="K152" s="2"/>
      <c r="L152" s="2"/>
      <c r="M152" s="2"/>
    </row>
    <row r="153" spans="9:13" x14ac:dyDescent="0.25">
      <c r="I153" s="2"/>
      <c r="J153" s="2"/>
      <c r="K153" s="2"/>
      <c r="L153" s="2"/>
      <c r="M153" s="2"/>
    </row>
    <row r="154" spans="9:13" x14ac:dyDescent="0.25">
      <c r="I154" s="2"/>
      <c r="J154" s="2"/>
      <c r="K154" s="2"/>
      <c r="L154" s="2"/>
      <c r="M154" s="2"/>
    </row>
    <row r="155" spans="9:13" x14ac:dyDescent="0.25">
      <c r="I155" s="2"/>
      <c r="J155" s="2"/>
      <c r="K155" s="2"/>
      <c r="L155" s="2"/>
      <c r="M155" s="2"/>
    </row>
    <row r="156" spans="9:13" x14ac:dyDescent="0.25">
      <c r="I156" s="2"/>
      <c r="J156" s="2"/>
      <c r="K156" s="2"/>
      <c r="L156" s="2"/>
      <c r="M156" s="2"/>
    </row>
    <row r="157" spans="9:13" x14ac:dyDescent="0.25">
      <c r="I157" s="2"/>
      <c r="J157" s="2"/>
      <c r="K157" s="2"/>
      <c r="L157" s="2"/>
      <c r="M157" s="2"/>
    </row>
    <row r="158" spans="9:13" x14ac:dyDescent="0.25">
      <c r="I158" s="2"/>
      <c r="J158" s="2"/>
      <c r="K158" s="2"/>
      <c r="L158" s="2"/>
      <c r="M158" s="2"/>
    </row>
    <row r="159" spans="9:13" x14ac:dyDescent="0.25">
      <c r="I159" s="2"/>
      <c r="J159" s="2"/>
      <c r="K159" s="2"/>
      <c r="L159" s="2"/>
      <c r="M159" s="2"/>
    </row>
    <row r="160" spans="9:13" x14ac:dyDescent="0.25">
      <c r="I160" s="2"/>
      <c r="J160" s="2"/>
      <c r="K160" s="2"/>
      <c r="L160" s="2"/>
      <c r="M160" s="2"/>
    </row>
  </sheetData>
  <mergeCells count="48">
    <mergeCell ref="M17:O17"/>
    <mergeCell ref="A2:O2"/>
    <mergeCell ref="A5:B6"/>
    <mergeCell ref="C5:E5"/>
    <mergeCell ref="F5:H5"/>
    <mergeCell ref="I5:K5"/>
    <mergeCell ref="A11:B11"/>
    <mergeCell ref="A12:B12"/>
    <mergeCell ref="A13:B13"/>
    <mergeCell ref="B17:F17"/>
    <mergeCell ref="G17:I17"/>
    <mergeCell ref="J17:L17"/>
    <mergeCell ref="B29:F29"/>
    <mergeCell ref="G29:I29"/>
    <mergeCell ref="J29:L29"/>
    <mergeCell ref="M29:O29"/>
    <mergeCell ref="B41:F41"/>
    <mergeCell ref="G41:I41"/>
    <mergeCell ref="J41:L41"/>
    <mergeCell ref="M41:O41"/>
    <mergeCell ref="B72:F72"/>
    <mergeCell ref="G72:I72"/>
    <mergeCell ref="J72:L72"/>
    <mergeCell ref="M72:O72"/>
    <mergeCell ref="A50:B51"/>
    <mergeCell ref="C50:E50"/>
    <mergeCell ref="F50:H50"/>
    <mergeCell ref="I50:K50"/>
    <mergeCell ref="A55:B55"/>
    <mergeCell ref="A56:B56"/>
    <mergeCell ref="A57:B57"/>
    <mergeCell ref="B60:F60"/>
    <mergeCell ref="G60:I60"/>
    <mergeCell ref="J60:L60"/>
    <mergeCell ref="M60:O60"/>
    <mergeCell ref="A86:D86"/>
    <mergeCell ref="M101:Q101"/>
    <mergeCell ref="M103:M105"/>
    <mergeCell ref="M106:M107"/>
    <mergeCell ref="M109:N109"/>
    <mergeCell ref="G101:K101"/>
    <mergeCell ref="G103:G105"/>
    <mergeCell ref="G106:G107"/>
    <mergeCell ref="G109:H109"/>
    <mergeCell ref="A101:E101"/>
    <mergeCell ref="A103:A105"/>
    <mergeCell ref="A106:A107"/>
    <mergeCell ref="A109:B109"/>
  </mergeCells>
  <pageMargins left="0.75" right="0.75" top="1" bottom="1" header="0.5" footer="0.5"/>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4A25A8-AB89-44E0-B717-CEC3AD143104}">
  <sheetPr codeName="Sheet7" filterMode="1">
    <tabColor rgb="FF92D050"/>
  </sheetPr>
  <dimension ref="A1:Z92"/>
  <sheetViews>
    <sheetView zoomScale="70" zoomScaleNormal="70" workbookViewId="0">
      <selection activeCell="L30" sqref="I29:L30"/>
    </sheetView>
  </sheetViews>
  <sheetFormatPr defaultRowHeight="13.8" x14ac:dyDescent="0.25"/>
  <cols>
    <col min="1" max="1" width="10.33203125" style="2" customWidth="1"/>
    <col min="2" max="2" width="10.5546875" style="2" customWidth="1"/>
    <col min="3" max="3" width="8" style="2" customWidth="1"/>
    <col min="4" max="4" width="14.21875" style="2" customWidth="1"/>
    <col min="5" max="5" width="13.33203125" style="2" customWidth="1"/>
    <col min="6" max="6" width="11.33203125" style="2" customWidth="1"/>
    <col min="7" max="7" width="11.77734375" style="2" customWidth="1"/>
    <col min="8" max="8" width="7" style="2" customWidth="1"/>
    <col min="9" max="9" width="50.5546875" style="2" customWidth="1"/>
    <col min="10" max="10" width="6.44140625" style="2" bestFit="1" customWidth="1"/>
    <col min="11" max="11" width="7.77734375" style="2" bestFit="1" customWidth="1"/>
    <col min="12" max="12" width="12.88671875" style="22" bestFit="1" customWidth="1"/>
    <col min="13" max="13" width="6.6640625" style="2" customWidth="1"/>
    <col min="14" max="14" width="10.5546875" style="2" customWidth="1"/>
    <col min="15" max="15" width="6.77734375" style="2" customWidth="1"/>
    <col min="16" max="16" width="11.44140625" style="2" customWidth="1"/>
    <col min="17" max="17" width="13.109375" style="2" customWidth="1"/>
    <col min="18" max="18" width="13.33203125" style="2" customWidth="1"/>
    <col min="19" max="19" width="11.77734375" style="2" customWidth="1"/>
    <col min="20" max="20" width="12.6640625" style="22" customWidth="1"/>
    <col min="21" max="21" width="5.77734375" style="2" customWidth="1"/>
    <col min="22" max="22" width="49.88671875" style="2" bestFit="1" customWidth="1"/>
    <col min="23" max="23" width="6.5546875" style="2" bestFit="1" customWidth="1"/>
    <col min="24" max="24" width="8.109375" style="2" bestFit="1" customWidth="1"/>
    <col min="25" max="25" width="12.21875" style="2" bestFit="1" customWidth="1"/>
    <col min="26" max="26" width="15.109375" style="2" bestFit="1" customWidth="1"/>
    <col min="27" max="16384" width="8.88671875" style="2"/>
  </cols>
  <sheetData>
    <row r="1" spans="1:26" s="389" customFormat="1" ht="55.2" x14ac:dyDescent="0.25">
      <c r="A1" s="394" t="s">
        <v>228</v>
      </c>
      <c r="B1" s="395" t="s">
        <v>227</v>
      </c>
      <c r="C1" s="395" t="s">
        <v>231</v>
      </c>
      <c r="D1" s="397" t="s">
        <v>82</v>
      </c>
      <c r="E1" s="397" t="s">
        <v>373</v>
      </c>
      <c r="F1" s="397" t="s">
        <v>374</v>
      </c>
      <c r="G1" s="398" t="s">
        <v>226</v>
      </c>
      <c r="H1" s="399"/>
      <c r="I1" s="390" t="s">
        <v>82</v>
      </c>
      <c r="J1" s="391" t="s">
        <v>83</v>
      </c>
      <c r="K1" s="392" t="s">
        <v>92</v>
      </c>
      <c r="L1" s="393" t="s">
        <v>372</v>
      </c>
      <c r="M1" s="399"/>
      <c r="N1" s="394" t="s">
        <v>228</v>
      </c>
      <c r="O1" s="395" t="s">
        <v>227</v>
      </c>
      <c r="P1" s="395" t="s">
        <v>231</v>
      </c>
      <c r="Q1" s="397" t="s">
        <v>82</v>
      </c>
      <c r="R1" s="397" t="s">
        <v>373</v>
      </c>
      <c r="S1" s="397" t="s">
        <v>374</v>
      </c>
      <c r="T1" s="396" t="s">
        <v>311</v>
      </c>
      <c r="U1" s="399"/>
      <c r="V1" s="394" t="s">
        <v>82</v>
      </c>
      <c r="W1" s="395" t="s">
        <v>83</v>
      </c>
      <c r="X1" s="395" t="s">
        <v>92</v>
      </c>
      <c r="Y1" s="396" t="s">
        <v>372</v>
      </c>
    </row>
    <row r="2" spans="1:26" ht="14.4" x14ac:dyDescent="0.3">
      <c r="A2" s="147" t="s">
        <v>47</v>
      </c>
      <c r="B2" s="146"/>
      <c r="C2" s="146" t="s">
        <v>230</v>
      </c>
      <c r="D2" s="149" t="s">
        <v>40</v>
      </c>
      <c r="E2" s="149">
        <v>0</v>
      </c>
      <c r="F2" s="149">
        <v>0</v>
      </c>
      <c r="G2" s="144">
        <v>3345.0000000000005</v>
      </c>
      <c r="I2" s="400" t="s">
        <v>43</v>
      </c>
      <c r="J2" s="401">
        <f>COUNTIFS($D$2:$D$100,I2, $E$2:$E$100,"=0")</f>
        <v>2</v>
      </c>
      <c r="K2" s="255">
        <f>J2/$J$11</f>
        <v>4.0816326530612242E-2</v>
      </c>
      <c r="L2" s="402">
        <f>SUMIFS($G$2:$G$83,$D$2:$D$83,V2,$F$2:$F$83,"=0")</f>
        <v>1117.133333333333</v>
      </c>
      <c r="N2" s="147" t="s">
        <v>17</v>
      </c>
      <c r="O2" s="146"/>
      <c r="P2" s="158" t="s">
        <v>232</v>
      </c>
      <c r="Q2" s="146" t="s">
        <v>41</v>
      </c>
      <c r="R2" s="149">
        <v>0</v>
      </c>
      <c r="S2" s="149">
        <v>0</v>
      </c>
      <c r="T2" s="246">
        <v>67107</v>
      </c>
      <c r="V2" s="400" t="s">
        <v>43</v>
      </c>
      <c r="W2" s="401">
        <f t="shared" ref="W2:W9" si="0">COUNTIFS($Q$1:$Q$99,V2,$R$1:$R$99,"=0")</f>
        <v>16</v>
      </c>
      <c r="X2" s="255">
        <f>W2/$W$11</f>
        <v>0.24615384615384617</v>
      </c>
      <c r="Y2" s="402">
        <f>SUMIFS($T$2:$T$83,$Q$2:$Q$83,V2,$S$2:$S$83,"=0")</f>
        <v>2513163</v>
      </c>
      <c r="Z2" s="25"/>
    </row>
    <row r="3" spans="1:26" ht="14.4" x14ac:dyDescent="0.3">
      <c r="A3" s="147" t="s">
        <v>17</v>
      </c>
      <c r="B3" s="146"/>
      <c r="C3" s="146" t="s">
        <v>232</v>
      </c>
      <c r="D3" s="149" t="s">
        <v>41</v>
      </c>
      <c r="E3" s="149">
        <v>0</v>
      </c>
      <c r="F3" s="149">
        <v>0</v>
      </c>
      <c r="G3" s="144">
        <v>3669.0000000000045</v>
      </c>
      <c r="I3" s="400" t="s">
        <v>41</v>
      </c>
      <c r="J3" s="401">
        <f t="shared" ref="J3:J9" si="1">COUNTIFS($D$2:$D$100,I3, $E$2:$E$100,"=0")</f>
        <v>32</v>
      </c>
      <c r="K3" s="255">
        <f t="shared" ref="K3:K9" si="2">J3/$J$11</f>
        <v>0.65306122448979587</v>
      </c>
      <c r="L3" s="402">
        <f t="shared" ref="L3:L7" si="3">SUMIFS($G$2:$G$83,$D$2:$D$83,V3,$F$2:$F$83,"=0")</f>
        <v>653573.6333333333</v>
      </c>
      <c r="N3" s="147" t="s">
        <v>49</v>
      </c>
      <c r="O3" s="146"/>
      <c r="P3" s="48"/>
      <c r="Q3" s="146" t="s">
        <v>41</v>
      </c>
      <c r="R3" s="149">
        <v>0</v>
      </c>
      <c r="S3" s="149">
        <v>0</v>
      </c>
      <c r="T3" s="246">
        <v>646470</v>
      </c>
      <c r="V3" s="400" t="s">
        <v>41</v>
      </c>
      <c r="W3" s="401">
        <f t="shared" si="0"/>
        <v>25</v>
      </c>
      <c r="X3" s="255">
        <f t="shared" ref="X3:X9" si="4">W3/$W$11</f>
        <v>0.38461538461538464</v>
      </c>
      <c r="Y3" s="402">
        <f t="shared" ref="Y3:Y9" si="5">SUMIFS($T$2:$T$83,$Q$2:$Q$83,V3,$R$2:$R$83,"=0")</f>
        <v>4379061</v>
      </c>
      <c r="Z3" s="25"/>
    </row>
    <row r="4" spans="1:26" ht="14.4" x14ac:dyDescent="0.3">
      <c r="A4" s="197" t="s">
        <v>167</v>
      </c>
      <c r="B4" s="223" t="s">
        <v>17</v>
      </c>
      <c r="C4" s="223" t="s">
        <v>232</v>
      </c>
      <c r="D4" s="224" t="s">
        <v>41</v>
      </c>
      <c r="E4" s="224">
        <v>1</v>
      </c>
      <c r="F4" s="149">
        <v>1</v>
      </c>
      <c r="G4" s="225">
        <v>4906.4500000000044</v>
      </c>
      <c r="I4" s="400" t="s">
        <v>40</v>
      </c>
      <c r="J4" s="401">
        <f t="shared" si="1"/>
        <v>15</v>
      </c>
      <c r="K4" s="255">
        <f t="shared" si="2"/>
        <v>0.30612244897959184</v>
      </c>
      <c r="L4" s="402">
        <f t="shared" si="3"/>
        <v>145809.16666666669</v>
      </c>
      <c r="N4" s="147" t="s">
        <v>242</v>
      </c>
      <c r="O4" s="146"/>
      <c r="P4" s="158"/>
      <c r="Q4" s="146" t="s">
        <v>42</v>
      </c>
      <c r="R4" s="149">
        <v>0</v>
      </c>
      <c r="S4" s="149">
        <v>0</v>
      </c>
      <c r="T4" s="246">
        <v>1471</v>
      </c>
      <c r="V4" s="400" t="s">
        <v>40</v>
      </c>
      <c r="W4" s="401">
        <f t="shared" si="0"/>
        <v>4</v>
      </c>
      <c r="X4" s="255">
        <f t="shared" si="4"/>
        <v>6.1538461538461542E-2</v>
      </c>
      <c r="Y4" s="402">
        <f t="shared" si="5"/>
        <v>437</v>
      </c>
      <c r="Z4" s="25"/>
    </row>
    <row r="5" spans="1:26" ht="14.4" x14ac:dyDescent="0.3">
      <c r="A5" s="147" t="s">
        <v>168</v>
      </c>
      <c r="B5" s="146" t="s">
        <v>49</v>
      </c>
      <c r="C5" s="146"/>
      <c r="D5" s="149" t="s">
        <v>41</v>
      </c>
      <c r="E5" s="149">
        <v>0</v>
      </c>
      <c r="F5" s="149">
        <v>0</v>
      </c>
      <c r="G5" s="144">
        <v>130459.95</v>
      </c>
      <c r="I5" s="400" t="s">
        <v>80</v>
      </c>
      <c r="J5" s="401">
        <f t="shared" si="1"/>
        <v>0</v>
      </c>
      <c r="K5" s="255">
        <f t="shared" si="2"/>
        <v>0</v>
      </c>
      <c r="L5" s="402">
        <f t="shared" si="3"/>
        <v>0</v>
      </c>
      <c r="N5" s="147" t="s">
        <v>52</v>
      </c>
      <c r="O5" s="146"/>
      <c r="P5" s="158"/>
      <c r="Q5" s="146" t="s">
        <v>41</v>
      </c>
      <c r="R5" s="149">
        <v>0</v>
      </c>
      <c r="S5" s="149">
        <v>0</v>
      </c>
      <c r="T5" s="246">
        <v>600092</v>
      </c>
      <c r="V5" s="400" t="s">
        <v>80</v>
      </c>
      <c r="W5" s="401">
        <f t="shared" si="0"/>
        <v>1</v>
      </c>
      <c r="X5" s="255">
        <f t="shared" si="4"/>
        <v>1.5384615384615385E-2</v>
      </c>
      <c r="Y5" s="402">
        <f t="shared" si="5"/>
        <v>572</v>
      </c>
      <c r="Z5" s="25"/>
    </row>
    <row r="6" spans="1:26" ht="14.4" x14ac:dyDescent="0.3">
      <c r="A6" s="147" t="s">
        <v>169</v>
      </c>
      <c r="B6" s="146" t="s">
        <v>52</v>
      </c>
      <c r="C6" s="146"/>
      <c r="D6" s="149" t="s">
        <v>41</v>
      </c>
      <c r="E6" s="149">
        <v>0</v>
      </c>
      <c r="F6" s="149">
        <v>0</v>
      </c>
      <c r="G6" s="144">
        <v>122399.21666666665</v>
      </c>
      <c r="I6" s="400" t="s">
        <v>44</v>
      </c>
      <c r="J6" s="401">
        <f t="shared" si="1"/>
        <v>0</v>
      </c>
      <c r="K6" s="255">
        <f t="shared" si="2"/>
        <v>0</v>
      </c>
      <c r="L6" s="402">
        <f t="shared" si="3"/>
        <v>0</v>
      </c>
      <c r="N6" s="147" t="s">
        <v>243</v>
      </c>
      <c r="O6" s="146"/>
      <c r="P6" s="158" t="s">
        <v>310</v>
      </c>
      <c r="Q6" s="146" t="e" vm="1">
        <v>#VALUE!</v>
      </c>
      <c r="R6" s="149">
        <v>0</v>
      </c>
      <c r="S6" s="149">
        <v>0</v>
      </c>
      <c r="T6" s="246">
        <v>469</v>
      </c>
      <c r="V6" s="400" t="s">
        <v>44</v>
      </c>
      <c r="W6" s="401">
        <f t="shared" si="0"/>
        <v>2</v>
      </c>
      <c r="X6" s="255">
        <f t="shared" si="4"/>
        <v>3.0769230769230771E-2</v>
      </c>
      <c r="Y6" s="402">
        <f t="shared" si="5"/>
        <v>8188</v>
      </c>
      <c r="Z6" s="25"/>
    </row>
    <row r="7" spans="1:26" ht="14.4" x14ac:dyDescent="0.3">
      <c r="A7" s="147" t="s">
        <v>170</v>
      </c>
      <c r="B7" s="146"/>
      <c r="C7" s="146"/>
      <c r="D7" s="149" t="e" vm="1">
        <v>#VALUE!</v>
      </c>
      <c r="E7" s="149">
        <v>0</v>
      </c>
      <c r="F7" s="149">
        <v>0</v>
      </c>
      <c r="G7" s="144">
        <v>1725.0000000000018</v>
      </c>
      <c r="I7" s="400" t="s">
        <v>81</v>
      </c>
      <c r="J7" s="401">
        <f t="shared" si="1"/>
        <v>0</v>
      </c>
      <c r="K7" s="255">
        <f t="shared" si="2"/>
        <v>0</v>
      </c>
      <c r="L7" s="402">
        <f t="shared" si="3"/>
        <v>0</v>
      </c>
      <c r="N7" s="147" t="s">
        <v>18</v>
      </c>
      <c r="O7" s="146"/>
      <c r="P7" s="158" t="s">
        <v>309</v>
      </c>
      <c r="Q7" s="146" t="s">
        <v>48</v>
      </c>
      <c r="R7" s="149">
        <v>0</v>
      </c>
      <c r="S7" s="149">
        <v>0</v>
      </c>
      <c r="T7" s="246">
        <v>276349</v>
      </c>
      <c r="V7" s="400" t="s">
        <v>81</v>
      </c>
      <c r="W7" s="401">
        <f t="shared" si="0"/>
        <v>0</v>
      </c>
      <c r="X7" s="255">
        <f t="shared" si="4"/>
        <v>0</v>
      </c>
      <c r="Y7" s="402">
        <f t="shared" si="5"/>
        <v>0</v>
      </c>
      <c r="Z7" s="25"/>
    </row>
    <row r="8" spans="1:26" ht="14.4" x14ac:dyDescent="0.3">
      <c r="A8" s="147" t="s">
        <v>171</v>
      </c>
      <c r="B8" s="146"/>
      <c r="C8" s="146"/>
      <c r="D8" s="149" t="e" vm="1">
        <v>#VALUE!</v>
      </c>
      <c r="E8" s="149">
        <v>0</v>
      </c>
      <c r="F8" s="149">
        <v>0</v>
      </c>
      <c r="G8" s="144">
        <v>2555.7333333333377</v>
      </c>
      <c r="I8" s="400" t="s">
        <v>42</v>
      </c>
      <c r="J8" s="401">
        <f t="shared" si="1"/>
        <v>0</v>
      </c>
      <c r="K8" s="255">
        <f t="shared" si="2"/>
        <v>0</v>
      </c>
      <c r="L8" s="402">
        <f t="shared" ref="L8:L9" si="6">SUMIFS($G$2:$G$68,$D$2:$D$68,I8)</f>
        <v>0</v>
      </c>
      <c r="N8" s="147" t="s">
        <v>244</v>
      </c>
      <c r="O8" s="146"/>
      <c r="P8" s="158"/>
      <c r="Q8" s="146" t="s">
        <v>41</v>
      </c>
      <c r="R8" s="149">
        <v>0</v>
      </c>
      <c r="S8" s="149">
        <v>0</v>
      </c>
      <c r="T8" s="246">
        <v>486</v>
      </c>
      <c r="V8" s="400" t="s">
        <v>42</v>
      </c>
      <c r="W8" s="401">
        <f t="shared" si="0"/>
        <v>2</v>
      </c>
      <c r="X8" s="255">
        <f t="shared" si="4"/>
        <v>3.0769230769230771E-2</v>
      </c>
      <c r="Y8" s="402">
        <f t="shared" si="5"/>
        <v>3344</v>
      </c>
      <c r="Z8" s="25"/>
    </row>
    <row r="9" spans="1:26" ht="15" thickBot="1" x14ac:dyDescent="0.35">
      <c r="A9" s="147" t="s">
        <v>172</v>
      </c>
      <c r="B9" s="146" t="s">
        <v>350</v>
      </c>
      <c r="C9" s="146" t="s">
        <v>349</v>
      </c>
      <c r="D9" s="149" t="s">
        <v>41</v>
      </c>
      <c r="E9" s="149">
        <v>0</v>
      </c>
      <c r="F9" s="149">
        <v>0</v>
      </c>
      <c r="G9" s="144">
        <v>2115</v>
      </c>
      <c r="I9" s="403" t="s">
        <v>45</v>
      </c>
      <c r="J9" s="404">
        <f t="shared" si="1"/>
        <v>0</v>
      </c>
      <c r="K9" s="405">
        <f t="shared" si="2"/>
        <v>0</v>
      </c>
      <c r="L9" s="406">
        <f t="shared" si="6"/>
        <v>0</v>
      </c>
      <c r="N9" s="147" t="s">
        <v>245</v>
      </c>
      <c r="O9" s="146"/>
      <c r="P9" s="158"/>
      <c r="Q9" s="146" t="s">
        <v>43</v>
      </c>
      <c r="R9" s="149">
        <v>0</v>
      </c>
      <c r="S9" s="149">
        <v>0</v>
      </c>
      <c r="T9" s="246">
        <v>180</v>
      </c>
      <c r="V9" s="403" t="s">
        <v>45</v>
      </c>
      <c r="W9" s="404">
        <f t="shared" si="0"/>
        <v>15</v>
      </c>
      <c r="X9" s="405">
        <f t="shared" si="4"/>
        <v>0.23076923076923078</v>
      </c>
      <c r="Y9" s="406">
        <f t="shared" si="5"/>
        <v>72445</v>
      </c>
      <c r="Z9" s="25"/>
    </row>
    <row r="10" spans="1:26" ht="14.4" x14ac:dyDescent="0.3">
      <c r="A10" s="147" t="s">
        <v>173</v>
      </c>
      <c r="B10" s="146" t="s">
        <v>53</v>
      </c>
      <c r="C10" s="146"/>
      <c r="D10" s="149" t="s">
        <v>41</v>
      </c>
      <c r="E10" s="149">
        <v>0</v>
      </c>
      <c r="F10" s="149">
        <v>0</v>
      </c>
      <c r="G10" s="144">
        <v>1022.0000000000001</v>
      </c>
      <c r="N10" s="147" t="s">
        <v>246</v>
      </c>
      <c r="O10" s="146"/>
      <c r="P10" s="158"/>
      <c r="Q10" s="146" t="s">
        <v>43</v>
      </c>
      <c r="R10" s="149">
        <v>0</v>
      </c>
      <c r="S10" s="149">
        <v>0</v>
      </c>
      <c r="T10" s="246">
        <v>53049</v>
      </c>
      <c r="Y10" s="22"/>
    </row>
    <row r="11" spans="1:26" ht="14.4" x14ac:dyDescent="0.3">
      <c r="A11" s="197" t="s">
        <v>174</v>
      </c>
      <c r="B11" s="223"/>
      <c r="C11" s="223" t="s">
        <v>234</v>
      </c>
      <c r="D11" s="224" t="e" vm="1">
        <v>#VALUE!</v>
      </c>
      <c r="E11" s="224">
        <v>1</v>
      </c>
      <c r="F11" s="149">
        <v>1</v>
      </c>
      <c r="G11" s="225">
        <v>50.250000000000185</v>
      </c>
      <c r="I11" s="43" t="s">
        <v>84</v>
      </c>
      <c r="J11" s="37">
        <f>SUM(J2:J9)</f>
        <v>49</v>
      </c>
      <c r="K11" s="18">
        <f>SUM(K2:K9)</f>
        <v>1</v>
      </c>
      <c r="L11" s="233">
        <f>SUM(L2:L9)</f>
        <v>800499.93333333335</v>
      </c>
      <c r="N11" s="147" t="s">
        <v>247</v>
      </c>
      <c r="O11" s="146"/>
      <c r="P11" s="158"/>
      <c r="Q11" s="146" t="s">
        <v>43</v>
      </c>
      <c r="R11" s="149">
        <v>0</v>
      </c>
      <c r="S11" s="149">
        <v>0</v>
      </c>
      <c r="T11" s="246">
        <v>90357</v>
      </c>
      <c r="V11" s="43" t="s">
        <v>84</v>
      </c>
      <c r="W11" s="37">
        <f>SUM(W2:W9)</f>
        <v>65</v>
      </c>
      <c r="X11" s="18">
        <f>SUM(X2:X9)</f>
        <v>1</v>
      </c>
      <c r="Y11" s="233">
        <f>SUM(Y2:Y9)</f>
        <v>6977210</v>
      </c>
    </row>
    <row r="12" spans="1:26" ht="14.4" x14ac:dyDescent="0.3">
      <c r="A12" s="147" t="s">
        <v>175</v>
      </c>
      <c r="B12" s="146"/>
      <c r="C12" s="146" t="s">
        <v>233</v>
      </c>
      <c r="D12" s="149" t="s">
        <v>41</v>
      </c>
      <c r="E12" s="149">
        <v>0</v>
      </c>
      <c r="F12" s="149">
        <v>0</v>
      </c>
      <c r="G12" s="144">
        <v>506.99999999999926</v>
      </c>
      <c r="N12" s="147" t="s">
        <v>55</v>
      </c>
      <c r="O12" s="146"/>
      <c r="P12" s="158"/>
      <c r="Q12" s="146" t="s">
        <v>42</v>
      </c>
      <c r="R12" s="149">
        <v>0</v>
      </c>
      <c r="S12" s="149">
        <v>0</v>
      </c>
      <c r="T12" s="246">
        <v>1873</v>
      </c>
    </row>
    <row r="13" spans="1:26" ht="14.4" x14ac:dyDescent="0.3">
      <c r="A13" s="147" t="s">
        <v>176</v>
      </c>
      <c r="B13" s="146" t="s">
        <v>66</v>
      </c>
      <c r="C13" s="146" t="s">
        <v>351</v>
      </c>
      <c r="D13" s="149" t="s">
        <v>40</v>
      </c>
      <c r="E13" s="149">
        <v>0</v>
      </c>
      <c r="F13" s="149">
        <v>0</v>
      </c>
      <c r="G13" s="144">
        <v>14700</v>
      </c>
      <c r="I13" s="509" t="s">
        <v>507</v>
      </c>
      <c r="J13" s="509"/>
      <c r="K13" s="509"/>
      <c r="L13" s="290">
        <f>SUM(L2:L9)/SUM(J2:J9)</f>
        <v>16336.733333333334</v>
      </c>
      <c r="N13" s="147" t="s">
        <v>248</v>
      </c>
      <c r="O13" s="146"/>
      <c r="P13" s="223" t="s">
        <v>365</v>
      </c>
      <c r="Q13" s="146" t="e" vm="1">
        <v>#VALUE!</v>
      </c>
      <c r="R13" s="149">
        <v>0</v>
      </c>
      <c r="S13" s="149">
        <v>0</v>
      </c>
      <c r="T13" s="246">
        <v>2375</v>
      </c>
      <c r="V13" s="509" t="s">
        <v>509</v>
      </c>
      <c r="W13" s="509"/>
      <c r="X13" s="509"/>
      <c r="Y13" s="290">
        <f>SUM(Y2:Y9)/SUM(W2:W9)</f>
        <v>107341.69230769231</v>
      </c>
    </row>
    <row r="14" spans="1:26" ht="14.4" x14ac:dyDescent="0.3">
      <c r="A14" s="147" t="s">
        <v>19</v>
      </c>
      <c r="B14" s="146" t="s">
        <v>249</v>
      </c>
      <c r="C14" s="146" t="s">
        <v>295</v>
      </c>
      <c r="D14" s="149" t="e" vm="2">
        <v>#VALUE!</v>
      </c>
      <c r="E14" s="149">
        <v>0</v>
      </c>
      <c r="F14" s="149">
        <v>0</v>
      </c>
      <c r="G14" s="144">
        <v>97.283333333333061</v>
      </c>
      <c r="I14" s="509" t="s">
        <v>508</v>
      </c>
      <c r="J14" s="509"/>
      <c r="K14" s="509"/>
      <c r="L14" s="290">
        <f>SUM(L3:L9)/SUM(J3:J9)</f>
        <v>17008.144680851066</v>
      </c>
      <c r="N14" s="147" t="s">
        <v>249</v>
      </c>
      <c r="O14" s="146"/>
      <c r="P14" s="158" t="s">
        <v>295</v>
      </c>
      <c r="Q14" s="146" t="s">
        <v>41</v>
      </c>
      <c r="R14" s="149">
        <v>0</v>
      </c>
      <c r="S14" s="149">
        <v>0</v>
      </c>
      <c r="T14" s="246">
        <v>52575</v>
      </c>
      <c r="V14" s="509" t="s">
        <v>510</v>
      </c>
      <c r="W14" s="509"/>
      <c r="X14" s="509"/>
      <c r="Y14" s="290">
        <f>SUM(Y3:Y9)/SUM(W3:W9)</f>
        <v>91103</v>
      </c>
    </row>
    <row r="15" spans="1:26" ht="14.4" x14ac:dyDescent="0.3">
      <c r="A15" s="147" t="s">
        <v>177</v>
      </c>
      <c r="B15" s="146"/>
      <c r="C15" s="146"/>
      <c r="D15" s="149" t="s">
        <v>41</v>
      </c>
      <c r="E15" s="149">
        <v>0</v>
      </c>
      <c r="F15" s="149">
        <v>0</v>
      </c>
      <c r="G15" s="144">
        <v>178.99999999999989</v>
      </c>
      <c r="N15" s="147" t="s">
        <v>19</v>
      </c>
      <c r="O15" s="146"/>
      <c r="P15" s="223" t="s">
        <v>366</v>
      </c>
      <c r="Q15" s="146" t="s">
        <v>41</v>
      </c>
      <c r="R15" s="149">
        <v>0</v>
      </c>
      <c r="S15" s="149">
        <v>0</v>
      </c>
      <c r="T15" s="246">
        <v>726669</v>
      </c>
    </row>
    <row r="16" spans="1:26" ht="14.4" x14ac:dyDescent="0.3">
      <c r="A16" s="147" t="s">
        <v>178</v>
      </c>
      <c r="B16" s="146"/>
      <c r="C16" s="146"/>
      <c r="D16" s="149" t="s">
        <v>41</v>
      </c>
      <c r="E16" s="149">
        <v>0</v>
      </c>
      <c r="F16" s="149">
        <v>0</v>
      </c>
      <c r="G16" s="144">
        <v>210</v>
      </c>
      <c r="N16" s="147" t="s">
        <v>20</v>
      </c>
      <c r="O16" s="146"/>
      <c r="P16" s="158" t="s">
        <v>296</v>
      </c>
      <c r="Q16" s="146" t="s">
        <v>41</v>
      </c>
      <c r="R16" s="149">
        <v>0</v>
      </c>
      <c r="S16" s="149">
        <v>0</v>
      </c>
      <c r="T16" s="246">
        <v>762932</v>
      </c>
    </row>
    <row r="17" spans="1:21" ht="14.4" x14ac:dyDescent="0.3">
      <c r="A17" s="147" t="s">
        <v>179</v>
      </c>
      <c r="B17" s="146"/>
      <c r="C17" s="146"/>
      <c r="D17" s="149" t="s">
        <v>41</v>
      </c>
      <c r="E17" s="149">
        <v>0</v>
      </c>
      <c r="F17" s="149">
        <v>0</v>
      </c>
      <c r="G17" s="144">
        <v>349.00000000000023</v>
      </c>
      <c r="N17" s="147" t="s">
        <v>250</v>
      </c>
      <c r="O17" s="146"/>
      <c r="P17" s="158"/>
      <c r="Q17" s="146" t="e" vm="1">
        <v>#VALUE!</v>
      </c>
      <c r="R17" s="149">
        <v>0</v>
      </c>
      <c r="S17" s="149">
        <v>0</v>
      </c>
      <c r="T17" s="246">
        <v>349</v>
      </c>
    </row>
    <row r="18" spans="1:21" ht="14.4" x14ac:dyDescent="0.3">
      <c r="A18" s="147" t="s">
        <v>180</v>
      </c>
      <c r="B18" s="146"/>
      <c r="C18" s="146"/>
      <c r="D18" s="149" t="s">
        <v>41</v>
      </c>
      <c r="E18" s="149">
        <v>0</v>
      </c>
      <c r="F18" s="149">
        <v>0</v>
      </c>
      <c r="G18" s="144">
        <v>179.99999999999969</v>
      </c>
      <c r="N18" s="197" t="s">
        <v>251</v>
      </c>
      <c r="O18" s="223"/>
      <c r="P18" s="223" t="s">
        <v>368</v>
      </c>
      <c r="Q18" s="223" t="e" vm="1">
        <v>#VALUE!</v>
      </c>
      <c r="R18" s="224">
        <v>1</v>
      </c>
      <c r="S18" s="149">
        <v>1</v>
      </c>
      <c r="T18" s="247">
        <v>66</v>
      </c>
    </row>
    <row r="19" spans="1:21" ht="14.4" x14ac:dyDescent="0.3">
      <c r="A19" s="147" t="s">
        <v>181</v>
      </c>
      <c r="B19" s="146"/>
      <c r="C19" s="146"/>
      <c r="D19" s="149" t="s">
        <v>41</v>
      </c>
      <c r="E19" s="149">
        <v>0</v>
      </c>
      <c r="F19" s="149">
        <v>0</v>
      </c>
      <c r="G19" s="144">
        <v>2160</v>
      </c>
      <c r="N19" s="197" t="s">
        <v>252</v>
      </c>
      <c r="O19" s="223"/>
      <c r="P19" s="223" t="s">
        <v>368</v>
      </c>
      <c r="Q19" s="223" t="e" vm="1">
        <v>#VALUE!</v>
      </c>
      <c r="R19" s="224">
        <v>1</v>
      </c>
      <c r="S19" s="149">
        <v>1</v>
      </c>
      <c r="T19" s="247">
        <v>1621</v>
      </c>
    </row>
    <row r="20" spans="1:21" ht="14.4" x14ac:dyDescent="0.3">
      <c r="A20" s="147" t="s">
        <v>182</v>
      </c>
      <c r="B20" s="146"/>
      <c r="C20" s="146"/>
      <c r="D20" s="149" t="s">
        <v>41</v>
      </c>
      <c r="E20" s="149">
        <v>0</v>
      </c>
      <c r="F20" s="149">
        <v>0</v>
      </c>
      <c r="G20" s="144">
        <v>119.99999999999957</v>
      </c>
      <c r="N20" s="147" t="s">
        <v>253</v>
      </c>
      <c r="O20" s="146"/>
      <c r="P20" s="158" t="s">
        <v>297</v>
      </c>
      <c r="Q20" s="146" t="s">
        <v>80</v>
      </c>
      <c r="R20" s="149">
        <v>0</v>
      </c>
      <c r="S20" s="149">
        <v>0</v>
      </c>
      <c r="T20" s="246">
        <v>572</v>
      </c>
    </row>
    <row r="21" spans="1:21" ht="14.4" x14ac:dyDescent="0.3">
      <c r="A21" s="197" t="s">
        <v>183</v>
      </c>
      <c r="B21" s="146"/>
      <c r="C21" s="197" t="s">
        <v>234</v>
      </c>
      <c r="D21" s="149" t="e" vm="1">
        <v>#VALUE!</v>
      </c>
      <c r="E21" s="149">
        <v>0</v>
      </c>
      <c r="F21" s="149">
        <v>0</v>
      </c>
      <c r="G21" s="144">
        <v>243.38333333333341</v>
      </c>
      <c r="N21" s="147" t="s">
        <v>254</v>
      </c>
      <c r="O21" s="146"/>
      <c r="P21" s="158" t="s">
        <v>241</v>
      </c>
      <c r="Q21" s="146" t="s">
        <v>41</v>
      </c>
      <c r="R21" s="149">
        <v>0</v>
      </c>
      <c r="S21" s="149">
        <v>0</v>
      </c>
      <c r="T21" s="246">
        <v>302</v>
      </c>
    </row>
    <row r="22" spans="1:21" ht="14.4" x14ac:dyDescent="0.3">
      <c r="A22" s="197" t="s">
        <v>184</v>
      </c>
      <c r="B22" s="146"/>
      <c r="C22" s="197" t="s">
        <v>234</v>
      </c>
      <c r="D22" s="149" t="e" vm="1">
        <v>#VALUE!</v>
      </c>
      <c r="E22" s="149">
        <v>0</v>
      </c>
      <c r="F22" s="149">
        <v>0</v>
      </c>
      <c r="G22" s="144">
        <v>476.29999999999973</v>
      </c>
      <c r="N22" s="147" t="s">
        <v>255</v>
      </c>
      <c r="O22" s="146"/>
      <c r="P22" s="158"/>
      <c r="Q22" s="146" t="e" vm="1">
        <v>#VALUE!</v>
      </c>
      <c r="R22" s="149">
        <v>0</v>
      </c>
      <c r="S22" s="149">
        <v>0</v>
      </c>
      <c r="T22" s="246">
        <v>120</v>
      </c>
    </row>
    <row r="23" spans="1:21" ht="14.4" x14ac:dyDescent="0.3">
      <c r="A23" s="197" t="s">
        <v>185</v>
      </c>
      <c r="B23" s="223" t="s">
        <v>229</v>
      </c>
      <c r="C23" s="223"/>
      <c r="D23" s="224" t="s">
        <v>40</v>
      </c>
      <c r="E23" s="224">
        <v>1</v>
      </c>
      <c r="F23" s="149">
        <v>1</v>
      </c>
      <c r="G23" s="225">
        <v>989.99999999999818</v>
      </c>
      <c r="N23" s="147" t="s">
        <v>21</v>
      </c>
      <c r="O23" s="146"/>
      <c r="P23" s="158" t="s">
        <v>298</v>
      </c>
      <c r="Q23" s="146" t="s">
        <v>41</v>
      </c>
      <c r="R23" s="149">
        <v>0</v>
      </c>
      <c r="S23" s="149">
        <v>0</v>
      </c>
      <c r="T23" s="246">
        <v>606494</v>
      </c>
    </row>
    <row r="24" spans="1:21" ht="14.4" x14ac:dyDescent="0.3">
      <c r="A24" s="197" t="s">
        <v>67</v>
      </c>
      <c r="B24" s="223" t="s">
        <v>229</v>
      </c>
      <c r="C24" s="223"/>
      <c r="D24" s="224" t="s">
        <v>40</v>
      </c>
      <c r="E24" s="224">
        <v>1</v>
      </c>
      <c r="F24" s="149">
        <v>1</v>
      </c>
      <c r="G24" s="225">
        <v>180.00000000000011</v>
      </c>
      <c r="N24" s="147" t="s">
        <v>256</v>
      </c>
      <c r="O24" s="146" t="s">
        <v>57</v>
      </c>
      <c r="P24" s="158"/>
      <c r="Q24" s="146" t="s">
        <v>41</v>
      </c>
      <c r="R24" s="149">
        <v>0</v>
      </c>
      <c r="S24" s="149">
        <v>0</v>
      </c>
      <c r="T24" s="246">
        <v>1296</v>
      </c>
    </row>
    <row r="25" spans="1:21" ht="14.4" x14ac:dyDescent="0.3">
      <c r="A25" s="147" t="s">
        <v>20</v>
      </c>
      <c r="B25" s="146"/>
      <c r="C25" s="146"/>
      <c r="D25" s="149" t="s">
        <v>41</v>
      </c>
      <c r="E25" s="149">
        <v>0</v>
      </c>
      <c r="F25" s="149">
        <v>0</v>
      </c>
      <c r="G25" s="144">
        <v>243.51666666666662</v>
      </c>
      <c r="N25" s="147" t="s">
        <v>22</v>
      </c>
      <c r="O25" s="146"/>
      <c r="P25" s="158" t="s">
        <v>299</v>
      </c>
      <c r="Q25" s="146" t="s">
        <v>41</v>
      </c>
      <c r="R25" s="149">
        <v>0</v>
      </c>
      <c r="S25" s="149">
        <v>0</v>
      </c>
      <c r="T25" s="246">
        <v>25</v>
      </c>
    </row>
    <row r="26" spans="1:21" ht="14.4" x14ac:dyDescent="0.3">
      <c r="A26" s="147" t="s">
        <v>21</v>
      </c>
      <c r="B26" s="146"/>
      <c r="C26" s="146"/>
      <c r="D26" s="149" t="s">
        <v>41</v>
      </c>
      <c r="E26" s="149">
        <v>0</v>
      </c>
      <c r="F26" s="149">
        <v>0</v>
      </c>
      <c r="G26" s="144">
        <v>134</v>
      </c>
      <c r="N26" s="147" t="s">
        <v>257</v>
      </c>
      <c r="O26" s="146"/>
      <c r="P26" s="158" t="s">
        <v>300</v>
      </c>
      <c r="Q26" s="146" t="e" vm="1">
        <v>#VALUE!</v>
      </c>
      <c r="R26" s="149">
        <v>0</v>
      </c>
      <c r="S26" s="149">
        <v>0</v>
      </c>
      <c r="T26" s="246">
        <v>436</v>
      </c>
    </row>
    <row r="27" spans="1:21" ht="14.4" x14ac:dyDescent="0.3">
      <c r="A27" s="147" t="s">
        <v>186</v>
      </c>
      <c r="B27" s="146" t="s">
        <v>57</v>
      </c>
      <c r="C27" s="146"/>
      <c r="D27" s="149" t="s">
        <v>41</v>
      </c>
      <c r="E27" s="149">
        <v>0</v>
      </c>
      <c r="F27" s="149">
        <v>0</v>
      </c>
      <c r="G27" s="144">
        <v>41390.433333333334</v>
      </c>
      <c r="N27" s="147" t="s">
        <v>23</v>
      </c>
      <c r="O27" s="24"/>
      <c r="P27" s="158"/>
      <c r="Q27" s="146" t="s">
        <v>43</v>
      </c>
      <c r="R27" s="149">
        <v>0</v>
      </c>
      <c r="S27" s="149">
        <v>0</v>
      </c>
      <c r="T27" s="246">
        <v>2305359</v>
      </c>
      <c r="U27" s="22"/>
    </row>
    <row r="28" spans="1:21" ht="14.4" x14ac:dyDescent="0.3">
      <c r="A28" s="147" t="s">
        <v>187</v>
      </c>
      <c r="B28" s="146" t="s">
        <v>22</v>
      </c>
      <c r="C28" s="146"/>
      <c r="D28" s="149" t="s">
        <v>41</v>
      </c>
      <c r="E28" s="149">
        <v>0</v>
      </c>
      <c r="F28" s="149">
        <v>0</v>
      </c>
      <c r="G28" s="144">
        <v>278.7333333333338</v>
      </c>
      <c r="N28" s="147" t="s">
        <v>25</v>
      </c>
      <c r="O28" s="24"/>
      <c r="P28" s="158" t="s">
        <v>301</v>
      </c>
      <c r="Q28" s="146" t="s">
        <v>44</v>
      </c>
      <c r="R28" s="149">
        <v>0</v>
      </c>
      <c r="S28" s="149">
        <v>0</v>
      </c>
      <c r="T28" s="246">
        <v>1250</v>
      </c>
    </row>
    <row r="29" spans="1:21" ht="14.4" x14ac:dyDescent="0.3">
      <c r="A29" s="147" t="s">
        <v>188</v>
      </c>
      <c r="B29" s="146"/>
      <c r="C29" s="223" t="s">
        <v>352</v>
      </c>
      <c r="D29" s="149" t="s">
        <v>41</v>
      </c>
      <c r="E29" s="149">
        <v>0</v>
      </c>
      <c r="F29" s="149">
        <v>0</v>
      </c>
      <c r="G29" s="144">
        <v>34371.283333333333</v>
      </c>
      <c r="N29" s="147" t="s">
        <v>258</v>
      </c>
      <c r="O29" s="146"/>
      <c r="P29" s="158" t="s">
        <v>301</v>
      </c>
      <c r="Q29" s="146" t="s">
        <v>44</v>
      </c>
      <c r="R29" s="149">
        <v>0</v>
      </c>
      <c r="S29" s="149">
        <v>0</v>
      </c>
      <c r="T29" s="246">
        <v>6938</v>
      </c>
    </row>
    <row r="30" spans="1:21" ht="14.4" x14ac:dyDescent="0.3">
      <c r="A30" s="147" t="s">
        <v>23</v>
      </c>
      <c r="B30" s="146" t="s">
        <v>23</v>
      </c>
      <c r="C30" s="146"/>
      <c r="D30" s="149" t="e" vm="2">
        <v>#VALUE!</v>
      </c>
      <c r="E30" s="149">
        <v>0</v>
      </c>
      <c r="F30" s="149">
        <v>0</v>
      </c>
      <c r="G30" s="144">
        <v>885.70000000000039</v>
      </c>
      <c r="N30" s="147" t="s">
        <v>26</v>
      </c>
      <c r="O30" s="146"/>
      <c r="P30" s="158" t="s">
        <v>369</v>
      </c>
      <c r="Q30" s="146" t="s">
        <v>45</v>
      </c>
      <c r="R30" s="149">
        <v>0</v>
      </c>
      <c r="S30" s="149">
        <v>0</v>
      </c>
      <c r="T30" s="246">
        <v>628</v>
      </c>
    </row>
    <row r="31" spans="1:21" ht="14.4" x14ac:dyDescent="0.3">
      <c r="A31" s="147" t="s">
        <v>189</v>
      </c>
      <c r="B31" s="146"/>
      <c r="C31" s="146" t="s">
        <v>235</v>
      </c>
      <c r="D31" s="149" t="s">
        <v>41</v>
      </c>
      <c r="E31" s="149">
        <v>0</v>
      </c>
      <c r="F31" s="149">
        <v>0</v>
      </c>
      <c r="G31" s="144">
        <v>5889.5833333333339</v>
      </c>
      <c r="N31" s="147" t="s">
        <v>259</v>
      </c>
      <c r="O31" s="146"/>
      <c r="P31" s="158" t="s">
        <v>369</v>
      </c>
      <c r="Q31" s="146" t="s">
        <v>45</v>
      </c>
      <c r="R31" s="149">
        <v>0</v>
      </c>
      <c r="S31" s="149">
        <v>0</v>
      </c>
      <c r="T31" s="246">
        <v>4850</v>
      </c>
    </row>
    <row r="32" spans="1:21" ht="14.4" x14ac:dyDescent="0.3">
      <c r="A32" s="147" t="s">
        <v>190</v>
      </c>
      <c r="B32" s="146"/>
      <c r="C32" s="223" t="s">
        <v>353</v>
      </c>
      <c r="D32" s="149" t="s">
        <v>41</v>
      </c>
      <c r="E32" s="149">
        <v>0</v>
      </c>
      <c r="F32" s="149">
        <v>0</v>
      </c>
      <c r="G32" s="144">
        <v>37392</v>
      </c>
      <c r="N32" s="147" t="s">
        <v>260</v>
      </c>
      <c r="O32" s="146"/>
      <c r="P32" s="158" t="s">
        <v>369</v>
      </c>
      <c r="Q32" s="146" t="s">
        <v>45</v>
      </c>
      <c r="R32" s="149">
        <v>0</v>
      </c>
      <c r="S32" s="149">
        <v>0</v>
      </c>
      <c r="T32" s="246">
        <v>2106</v>
      </c>
    </row>
    <row r="33" spans="1:20" ht="14.4" x14ac:dyDescent="0.3">
      <c r="A33" s="147" t="s">
        <v>191</v>
      </c>
      <c r="B33" s="146"/>
      <c r="C33" s="146" t="s">
        <v>236</v>
      </c>
      <c r="D33" s="149" t="e" vm="1">
        <v>#VALUE!</v>
      </c>
      <c r="E33" s="149">
        <v>0</v>
      </c>
      <c r="F33" s="149">
        <v>0</v>
      </c>
      <c r="G33" s="144">
        <v>246879.64999999997</v>
      </c>
      <c r="N33" s="147" t="s">
        <v>261</v>
      </c>
      <c r="O33" s="146"/>
      <c r="P33" s="158" t="s">
        <v>369</v>
      </c>
      <c r="Q33" s="146" t="s">
        <v>45</v>
      </c>
      <c r="R33" s="149">
        <v>0</v>
      </c>
      <c r="S33" s="149">
        <v>0</v>
      </c>
      <c r="T33" s="246">
        <v>232</v>
      </c>
    </row>
    <row r="34" spans="1:20" ht="14.4" x14ac:dyDescent="0.3">
      <c r="A34" s="197" t="s">
        <v>192</v>
      </c>
      <c r="B34" s="223" t="s">
        <v>354</v>
      </c>
      <c r="C34" s="223"/>
      <c r="D34" s="224" t="s">
        <v>41</v>
      </c>
      <c r="E34" s="224">
        <v>1</v>
      </c>
      <c r="F34" s="149">
        <v>1</v>
      </c>
      <c r="G34" s="225">
        <v>939.10000000000116</v>
      </c>
      <c r="N34" s="147" t="s">
        <v>262</v>
      </c>
      <c r="O34" s="146"/>
      <c r="P34" s="158" t="s">
        <v>369</v>
      </c>
      <c r="Q34" s="146" t="s">
        <v>45</v>
      </c>
      <c r="R34" s="149">
        <v>0</v>
      </c>
      <c r="S34" s="149">
        <v>0</v>
      </c>
      <c r="T34" s="246">
        <v>17580</v>
      </c>
    </row>
    <row r="35" spans="1:20" ht="14.4" x14ac:dyDescent="0.3">
      <c r="A35" s="147" t="s">
        <v>193</v>
      </c>
      <c r="B35" s="223" t="s">
        <v>353</v>
      </c>
      <c r="C35" s="146"/>
      <c r="D35" s="149" t="s">
        <v>41</v>
      </c>
      <c r="E35" s="149">
        <v>0</v>
      </c>
      <c r="F35" s="149">
        <v>0</v>
      </c>
      <c r="G35" s="144">
        <v>152.00000000000026</v>
      </c>
      <c r="N35" s="147" t="s">
        <v>263</v>
      </c>
      <c r="O35" s="146"/>
      <c r="P35" s="158" t="s">
        <v>369</v>
      </c>
      <c r="Q35" s="146" t="s">
        <v>45</v>
      </c>
      <c r="R35" s="149">
        <v>0</v>
      </c>
      <c r="S35" s="149">
        <v>0</v>
      </c>
      <c r="T35" s="246">
        <v>923</v>
      </c>
    </row>
    <row r="36" spans="1:20" ht="14.4" x14ac:dyDescent="0.3">
      <c r="A36" s="147" t="s">
        <v>194</v>
      </c>
      <c r="B36" s="223" t="s">
        <v>353</v>
      </c>
      <c r="C36" s="146"/>
      <c r="D36" s="149" t="s">
        <v>41</v>
      </c>
      <c r="E36" s="149">
        <v>0</v>
      </c>
      <c r="F36" s="149">
        <v>0</v>
      </c>
      <c r="G36" s="144">
        <v>166.23333333333329</v>
      </c>
      <c r="N36" s="147" t="s">
        <v>264</v>
      </c>
      <c r="O36" s="146"/>
      <c r="P36" s="158" t="s">
        <v>369</v>
      </c>
      <c r="Q36" s="146" t="s">
        <v>45</v>
      </c>
      <c r="R36" s="149">
        <v>0</v>
      </c>
      <c r="S36" s="149">
        <v>0</v>
      </c>
      <c r="T36" s="246">
        <v>623</v>
      </c>
    </row>
    <row r="37" spans="1:20" ht="14.4" x14ac:dyDescent="0.3">
      <c r="A37" s="197" t="s">
        <v>195</v>
      </c>
      <c r="B37" s="223" t="s">
        <v>355</v>
      </c>
      <c r="C37" s="146"/>
      <c r="D37" s="149" t="s">
        <v>41</v>
      </c>
      <c r="E37" s="149">
        <v>0</v>
      </c>
      <c r="F37" s="149">
        <v>0</v>
      </c>
      <c r="G37" s="144">
        <v>57098.45</v>
      </c>
      <c r="N37" s="147" t="s">
        <v>265</v>
      </c>
      <c r="O37" s="146"/>
      <c r="P37" s="158" t="s">
        <v>369</v>
      </c>
      <c r="Q37" s="146" t="s">
        <v>45</v>
      </c>
      <c r="R37" s="149">
        <v>0</v>
      </c>
      <c r="S37" s="149">
        <v>0</v>
      </c>
      <c r="T37" s="246">
        <v>1662</v>
      </c>
    </row>
    <row r="38" spans="1:20" ht="14.4" x14ac:dyDescent="0.3">
      <c r="A38" s="147" t="s">
        <v>196</v>
      </c>
      <c r="B38" s="146"/>
      <c r="C38" s="146" t="s">
        <v>237</v>
      </c>
      <c r="D38" s="149" t="s">
        <v>41</v>
      </c>
      <c r="E38" s="149">
        <v>0</v>
      </c>
      <c r="F38" s="149">
        <v>0</v>
      </c>
      <c r="G38" s="144">
        <v>1120</v>
      </c>
      <c r="N38" s="147" t="s">
        <v>266</v>
      </c>
      <c r="O38" s="146"/>
      <c r="P38" s="158" t="s">
        <v>369</v>
      </c>
      <c r="Q38" s="146" t="s">
        <v>45</v>
      </c>
      <c r="R38" s="149">
        <v>0</v>
      </c>
      <c r="S38" s="149">
        <v>0</v>
      </c>
      <c r="T38" s="246">
        <v>1993</v>
      </c>
    </row>
    <row r="39" spans="1:20" ht="14.4" x14ac:dyDescent="0.3">
      <c r="A39" s="147" t="s">
        <v>197</v>
      </c>
      <c r="B39" s="146"/>
      <c r="C39" s="146" t="s">
        <v>237</v>
      </c>
      <c r="D39" s="149" t="s">
        <v>41</v>
      </c>
      <c r="E39" s="149">
        <v>0</v>
      </c>
      <c r="F39" s="149">
        <v>0</v>
      </c>
      <c r="G39" s="144">
        <v>1109.9999999999993</v>
      </c>
      <c r="N39" s="147" t="s">
        <v>267</v>
      </c>
      <c r="O39" s="146"/>
      <c r="P39" s="158" t="s">
        <v>369</v>
      </c>
      <c r="Q39" s="146" t="s">
        <v>45</v>
      </c>
      <c r="R39" s="149">
        <v>0</v>
      </c>
      <c r="S39" s="149">
        <v>0</v>
      </c>
      <c r="T39" s="246">
        <v>4811</v>
      </c>
    </row>
    <row r="40" spans="1:20" ht="14.4" x14ac:dyDescent="0.3">
      <c r="A40" s="147" t="s">
        <v>198</v>
      </c>
      <c r="B40" s="146"/>
      <c r="C40" s="146" t="s">
        <v>237</v>
      </c>
      <c r="D40" s="149" t="s">
        <v>41</v>
      </c>
      <c r="E40" s="149">
        <v>0</v>
      </c>
      <c r="F40" s="149">
        <v>0</v>
      </c>
      <c r="G40" s="144">
        <v>994.99999999999864</v>
      </c>
      <c r="N40" s="147" t="s">
        <v>268</v>
      </c>
      <c r="O40" s="146"/>
      <c r="P40" s="158" t="s">
        <v>369</v>
      </c>
      <c r="Q40" s="146" t="s">
        <v>45</v>
      </c>
      <c r="R40" s="149">
        <v>0</v>
      </c>
      <c r="S40" s="149">
        <v>0</v>
      </c>
      <c r="T40" s="246">
        <v>81</v>
      </c>
    </row>
    <row r="41" spans="1:20" ht="14.4" x14ac:dyDescent="0.3">
      <c r="A41" s="147" t="s">
        <v>199</v>
      </c>
      <c r="B41" s="146"/>
      <c r="C41" s="146" t="s">
        <v>237</v>
      </c>
      <c r="D41" s="149" t="s">
        <v>41</v>
      </c>
      <c r="E41" s="149">
        <v>0</v>
      </c>
      <c r="F41" s="149">
        <v>0</v>
      </c>
      <c r="G41" s="144">
        <v>1065.0000000000002</v>
      </c>
      <c r="N41" s="147" t="s">
        <v>269</v>
      </c>
      <c r="O41" s="146"/>
      <c r="P41" s="158" t="s">
        <v>369</v>
      </c>
      <c r="Q41" s="146" t="s">
        <v>45</v>
      </c>
      <c r="R41" s="149">
        <v>0</v>
      </c>
      <c r="S41" s="149">
        <v>0</v>
      </c>
      <c r="T41" s="246">
        <v>35708</v>
      </c>
    </row>
    <row r="42" spans="1:20" ht="14.4" x14ac:dyDescent="0.3">
      <c r="A42" s="147" t="s">
        <v>200</v>
      </c>
      <c r="B42" s="146"/>
      <c r="C42" s="146" t="s">
        <v>62</v>
      </c>
      <c r="D42" s="149" t="s">
        <v>41</v>
      </c>
      <c r="E42" s="149">
        <v>0</v>
      </c>
      <c r="F42" s="149">
        <v>0</v>
      </c>
      <c r="G42" s="144">
        <v>4325.9500000000044</v>
      </c>
      <c r="N42" s="147" t="s">
        <v>270</v>
      </c>
      <c r="O42" s="146"/>
      <c r="P42" s="158" t="s">
        <v>353</v>
      </c>
      <c r="Q42" s="146" t="s">
        <v>41</v>
      </c>
      <c r="R42" s="149">
        <v>0</v>
      </c>
      <c r="S42" s="149">
        <v>0</v>
      </c>
      <c r="T42" s="246">
        <v>31521</v>
      </c>
    </row>
    <row r="43" spans="1:20" ht="14.4" x14ac:dyDescent="0.3">
      <c r="A43" s="147" t="s">
        <v>201</v>
      </c>
      <c r="B43" s="146"/>
      <c r="C43" s="146" t="s">
        <v>238</v>
      </c>
      <c r="D43" s="149" t="s">
        <v>41</v>
      </c>
      <c r="E43" s="149">
        <v>0</v>
      </c>
      <c r="F43" s="149">
        <v>0</v>
      </c>
      <c r="G43" s="144">
        <v>20496.283333333333</v>
      </c>
      <c r="N43" s="147" t="s">
        <v>271</v>
      </c>
      <c r="O43" s="146"/>
      <c r="P43" s="158" t="s">
        <v>353</v>
      </c>
      <c r="Q43" s="146" t="s">
        <v>41</v>
      </c>
      <c r="R43" s="149">
        <v>0</v>
      </c>
      <c r="S43" s="149">
        <v>0</v>
      </c>
      <c r="T43" s="246">
        <v>1228</v>
      </c>
    </row>
    <row r="44" spans="1:20" ht="14.4" x14ac:dyDescent="0.3">
      <c r="A44" s="147" t="s">
        <v>202</v>
      </c>
      <c r="B44" s="146"/>
      <c r="C44" s="146"/>
      <c r="D44" s="149" t="e" vm="1">
        <v>#VALUE!</v>
      </c>
      <c r="E44" s="149">
        <v>0</v>
      </c>
      <c r="F44" s="149">
        <v>0</v>
      </c>
      <c r="G44" s="144">
        <v>1069.4999999999984</v>
      </c>
      <c r="N44" s="147" t="s">
        <v>272</v>
      </c>
      <c r="O44" s="146"/>
      <c r="P44" s="158" t="s">
        <v>353</v>
      </c>
      <c r="Q44" s="146" t="s">
        <v>41</v>
      </c>
      <c r="R44" s="149">
        <v>0</v>
      </c>
      <c r="S44" s="149">
        <v>0</v>
      </c>
      <c r="T44" s="246">
        <v>1190</v>
      </c>
    </row>
    <row r="45" spans="1:20" ht="14.4" x14ac:dyDescent="0.3">
      <c r="A45" s="147" t="s">
        <v>203</v>
      </c>
      <c r="B45" s="223" t="s">
        <v>356</v>
      </c>
      <c r="C45" s="146"/>
      <c r="D45" s="149" t="s">
        <v>43</v>
      </c>
      <c r="E45" s="149">
        <v>0</v>
      </c>
      <c r="F45" s="149">
        <v>0</v>
      </c>
      <c r="G45" s="144">
        <v>731.00000000000011</v>
      </c>
      <c r="N45" s="147" t="s">
        <v>115</v>
      </c>
      <c r="O45" s="146"/>
      <c r="P45" s="158" t="s">
        <v>237</v>
      </c>
      <c r="Q45" s="146" t="s">
        <v>41</v>
      </c>
      <c r="R45" s="149">
        <v>0</v>
      </c>
      <c r="S45" s="149">
        <v>0</v>
      </c>
      <c r="T45" s="246">
        <v>13399</v>
      </c>
    </row>
    <row r="46" spans="1:20" ht="14.4" x14ac:dyDescent="0.3">
      <c r="A46" s="147" t="s">
        <v>204</v>
      </c>
      <c r="B46" s="223" t="s">
        <v>356</v>
      </c>
      <c r="C46" s="146"/>
      <c r="D46" s="149" t="s">
        <v>43</v>
      </c>
      <c r="E46" s="149">
        <v>0</v>
      </c>
      <c r="F46" s="149">
        <v>0</v>
      </c>
      <c r="G46" s="144">
        <v>386.13333333333281</v>
      </c>
      <c r="N46" s="147" t="s">
        <v>116</v>
      </c>
      <c r="O46" s="146"/>
      <c r="P46" s="158" t="s">
        <v>237</v>
      </c>
      <c r="Q46" s="146" t="s">
        <v>41</v>
      </c>
      <c r="R46" s="149">
        <v>0</v>
      </c>
      <c r="S46" s="149">
        <v>0</v>
      </c>
      <c r="T46" s="246">
        <v>11127</v>
      </c>
    </row>
    <row r="47" spans="1:20" ht="14.4" x14ac:dyDescent="0.3">
      <c r="A47" s="147" t="s">
        <v>205</v>
      </c>
      <c r="B47" s="223" t="s">
        <v>357</v>
      </c>
      <c r="C47" s="146"/>
      <c r="D47" s="149" t="s">
        <v>41</v>
      </c>
      <c r="E47" s="149">
        <v>0</v>
      </c>
      <c r="F47" s="149">
        <v>0</v>
      </c>
      <c r="G47" s="144">
        <v>19383.033333333336</v>
      </c>
      <c r="N47" s="147" t="s">
        <v>117</v>
      </c>
      <c r="O47" s="146"/>
      <c r="P47" s="158" t="s">
        <v>237</v>
      </c>
      <c r="Q47" s="146" t="s">
        <v>41</v>
      </c>
      <c r="R47" s="149">
        <v>0</v>
      </c>
      <c r="S47" s="149">
        <v>0</v>
      </c>
      <c r="T47" s="246">
        <v>11208</v>
      </c>
    </row>
    <row r="48" spans="1:20" ht="14.4" x14ac:dyDescent="0.3">
      <c r="A48" s="147" t="s">
        <v>206</v>
      </c>
      <c r="B48" s="223" t="s">
        <v>358</v>
      </c>
      <c r="C48" s="146"/>
      <c r="D48" s="149" t="s">
        <v>364</v>
      </c>
      <c r="E48" s="149">
        <v>0</v>
      </c>
      <c r="F48" s="149">
        <v>0</v>
      </c>
      <c r="G48" s="144">
        <v>3345.0000000000014</v>
      </c>
      <c r="N48" s="147" t="s">
        <v>118</v>
      </c>
      <c r="O48" s="146"/>
      <c r="P48" s="158" t="s">
        <v>237</v>
      </c>
      <c r="Q48" s="146" t="s">
        <v>41</v>
      </c>
      <c r="R48" s="149">
        <v>0</v>
      </c>
      <c r="S48" s="149">
        <v>0</v>
      </c>
      <c r="T48" s="246">
        <v>13599</v>
      </c>
    </row>
    <row r="49" spans="1:24" ht="14.4" x14ac:dyDescent="0.3">
      <c r="A49" s="147" t="s">
        <v>207</v>
      </c>
      <c r="B49" s="223" t="s">
        <v>359</v>
      </c>
      <c r="C49" s="146"/>
      <c r="D49" s="149" t="s">
        <v>41</v>
      </c>
      <c r="E49" s="149">
        <v>0</v>
      </c>
      <c r="F49" s="149">
        <v>0</v>
      </c>
      <c r="G49" s="144">
        <v>132943.28333333333</v>
      </c>
      <c r="N49" s="147" t="s">
        <v>39</v>
      </c>
      <c r="O49" s="146"/>
      <c r="P49" s="158" t="s">
        <v>302</v>
      </c>
      <c r="Q49" s="146" t="s">
        <v>41</v>
      </c>
      <c r="R49" s="149">
        <v>0</v>
      </c>
      <c r="S49" s="149">
        <v>0</v>
      </c>
      <c r="T49" s="246">
        <v>113375</v>
      </c>
    </row>
    <row r="50" spans="1:24" ht="14.4" x14ac:dyDescent="0.3">
      <c r="A50" s="147" t="s">
        <v>208</v>
      </c>
      <c r="B50" s="223" t="s">
        <v>358</v>
      </c>
      <c r="C50" s="146"/>
      <c r="D50" s="149" t="s">
        <v>364</v>
      </c>
      <c r="E50" s="149">
        <v>0</v>
      </c>
      <c r="F50" s="149">
        <v>0</v>
      </c>
      <c r="G50" s="144">
        <v>36.999999999999986</v>
      </c>
      <c r="N50" s="197" t="s">
        <v>273</v>
      </c>
      <c r="O50" s="223"/>
      <c r="P50" s="223" t="s">
        <v>367</v>
      </c>
      <c r="Q50" s="223" t="s">
        <v>367</v>
      </c>
      <c r="R50" s="224">
        <v>1</v>
      </c>
      <c r="S50" s="149">
        <v>1</v>
      </c>
      <c r="T50" s="247">
        <v>9012</v>
      </c>
    </row>
    <row r="51" spans="1:24" ht="14.4" x14ac:dyDescent="0.3">
      <c r="A51" s="147" t="s">
        <v>209</v>
      </c>
      <c r="B51" s="223" t="s">
        <v>358</v>
      </c>
      <c r="C51" s="146"/>
      <c r="D51" s="149" t="s">
        <v>364</v>
      </c>
      <c r="E51" s="149">
        <v>0</v>
      </c>
      <c r="F51" s="149">
        <v>0</v>
      </c>
      <c r="G51" s="144">
        <v>11.999999999999996</v>
      </c>
      <c r="N51" s="147" t="s">
        <v>28</v>
      </c>
      <c r="O51" s="146"/>
      <c r="P51" s="223" t="s">
        <v>370</v>
      </c>
      <c r="Q51" s="146" t="s">
        <v>41</v>
      </c>
      <c r="R51" s="149">
        <v>0</v>
      </c>
      <c r="S51" s="149">
        <v>0</v>
      </c>
      <c r="T51" s="246">
        <v>3401</v>
      </c>
    </row>
    <row r="52" spans="1:24" ht="14.4" x14ac:dyDescent="0.3">
      <c r="A52" s="147" t="s">
        <v>210</v>
      </c>
      <c r="B52" s="223" t="s">
        <v>360</v>
      </c>
      <c r="C52" s="146" t="s">
        <v>239</v>
      </c>
      <c r="D52" s="149" t="s">
        <v>41</v>
      </c>
      <c r="E52" s="149">
        <v>0</v>
      </c>
      <c r="F52" s="149">
        <v>0</v>
      </c>
      <c r="G52" s="144">
        <v>25077.333333333332</v>
      </c>
      <c r="N52" s="147" t="s">
        <v>62</v>
      </c>
      <c r="O52" s="146"/>
      <c r="P52" s="158" t="s">
        <v>303</v>
      </c>
      <c r="Q52" s="146" t="s">
        <v>41</v>
      </c>
      <c r="R52" s="149">
        <v>0</v>
      </c>
      <c r="S52" s="149">
        <v>0</v>
      </c>
      <c r="T52" s="246">
        <v>6454</v>
      </c>
    </row>
    <row r="53" spans="1:24" ht="14.4" x14ac:dyDescent="0.3">
      <c r="A53" s="147" t="s">
        <v>211</v>
      </c>
      <c r="B53" s="146" t="s">
        <v>240</v>
      </c>
      <c r="C53" s="146" t="s">
        <v>240</v>
      </c>
      <c r="D53" s="149" t="s">
        <v>40</v>
      </c>
      <c r="E53" s="149">
        <v>0</v>
      </c>
      <c r="F53" s="149">
        <v>0</v>
      </c>
      <c r="G53" s="144">
        <v>2160</v>
      </c>
      <c r="N53" s="147" t="s">
        <v>29</v>
      </c>
      <c r="O53" s="146"/>
      <c r="P53" s="158" t="s">
        <v>238</v>
      </c>
      <c r="Q53" s="146" t="s">
        <v>41</v>
      </c>
      <c r="R53" s="149">
        <v>0</v>
      </c>
      <c r="S53" s="149">
        <v>0</v>
      </c>
      <c r="T53" s="246">
        <v>296</v>
      </c>
    </row>
    <row r="54" spans="1:24" ht="14.4" x14ac:dyDescent="0.3">
      <c r="A54" s="197" t="s">
        <v>212</v>
      </c>
      <c r="B54" s="223" t="s">
        <v>361</v>
      </c>
      <c r="C54" s="223"/>
      <c r="D54" s="224" t="s">
        <v>43</v>
      </c>
      <c r="E54" s="224">
        <v>1</v>
      </c>
      <c r="F54" s="149">
        <v>1</v>
      </c>
      <c r="G54" s="247">
        <v>461438</v>
      </c>
      <c r="H54" s="25"/>
      <c r="N54" s="147" t="s">
        <v>30</v>
      </c>
      <c r="O54" s="146"/>
      <c r="P54" s="158"/>
      <c r="Q54" s="146" t="s">
        <v>43</v>
      </c>
      <c r="R54" s="149">
        <v>0</v>
      </c>
      <c r="S54" s="149">
        <v>0</v>
      </c>
      <c r="T54" s="246">
        <v>3024</v>
      </c>
    </row>
    <row r="55" spans="1:24" ht="14.4" x14ac:dyDescent="0.3">
      <c r="A55" s="147" t="s">
        <v>64</v>
      </c>
      <c r="B55" s="158" t="s">
        <v>64</v>
      </c>
      <c r="C55" s="146"/>
      <c r="D55" s="149" t="e" vm="2">
        <v>#VALUE!</v>
      </c>
      <c r="E55" s="149">
        <v>0</v>
      </c>
      <c r="F55" s="149">
        <v>0</v>
      </c>
      <c r="G55" s="144">
        <v>22562.250000000011</v>
      </c>
      <c r="I55" s="25"/>
      <c r="N55" s="147" t="s">
        <v>274</v>
      </c>
      <c r="O55" s="146"/>
      <c r="P55" s="158" t="s">
        <v>304</v>
      </c>
      <c r="Q55" s="146" t="s">
        <v>41</v>
      </c>
      <c r="R55" s="149">
        <v>0</v>
      </c>
      <c r="S55" s="149">
        <v>0</v>
      </c>
      <c r="T55" s="246">
        <v>1690</v>
      </c>
    </row>
    <row r="56" spans="1:24" s="12" customFormat="1" ht="14.4" x14ac:dyDescent="0.3">
      <c r="A56" s="147" t="s">
        <v>213</v>
      </c>
      <c r="B56" s="158" t="s">
        <v>362</v>
      </c>
      <c r="C56" s="146"/>
      <c r="D56" s="149" t="s">
        <v>40</v>
      </c>
      <c r="E56" s="149">
        <v>0</v>
      </c>
      <c r="F56" s="149">
        <v>0</v>
      </c>
      <c r="G56" s="144">
        <v>510.00000000000011</v>
      </c>
      <c r="L56" s="232"/>
      <c r="N56" s="147" t="s">
        <v>275</v>
      </c>
      <c r="O56" s="146"/>
      <c r="P56" s="158"/>
      <c r="Q56" s="146" t="s">
        <v>43</v>
      </c>
      <c r="R56" s="149">
        <v>0</v>
      </c>
      <c r="S56" s="149">
        <v>0</v>
      </c>
      <c r="T56" s="246">
        <v>180</v>
      </c>
      <c r="U56" s="153"/>
      <c r="V56" s="153"/>
      <c r="W56" s="153"/>
      <c r="X56" s="153"/>
    </row>
    <row r="57" spans="1:24" s="12" customFormat="1" ht="14.4" x14ac:dyDescent="0.3">
      <c r="A57" s="147" t="s">
        <v>214</v>
      </c>
      <c r="B57" s="158" t="s">
        <v>362</v>
      </c>
      <c r="C57" s="146"/>
      <c r="D57" s="149" t="s">
        <v>40</v>
      </c>
      <c r="E57" s="149">
        <v>0</v>
      </c>
      <c r="F57" s="149">
        <v>0</v>
      </c>
      <c r="G57" s="144">
        <v>2219</v>
      </c>
      <c r="L57" s="232"/>
      <c r="N57" s="147" t="s">
        <v>276</v>
      </c>
      <c r="O57" s="146"/>
      <c r="P57" s="158"/>
      <c r="Q57" s="146" t="s">
        <v>43</v>
      </c>
      <c r="R57" s="149">
        <v>0</v>
      </c>
      <c r="S57" s="149">
        <v>0</v>
      </c>
      <c r="T57" s="246">
        <v>3249</v>
      </c>
      <c r="U57" s="153"/>
      <c r="V57" s="153"/>
      <c r="W57" s="153"/>
      <c r="X57" s="153"/>
    </row>
    <row r="58" spans="1:24" s="12" customFormat="1" ht="14.4" x14ac:dyDescent="0.3">
      <c r="A58" s="147" t="s">
        <v>215</v>
      </c>
      <c r="B58" s="158" t="s">
        <v>362</v>
      </c>
      <c r="C58" s="146"/>
      <c r="D58" s="149" t="s">
        <v>40</v>
      </c>
      <c r="E58" s="149">
        <v>0</v>
      </c>
      <c r="F58" s="149">
        <v>0</v>
      </c>
      <c r="G58" s="144">
        <v>5669.9999999999991</v>
      </c>
      <c r="L58" s="232"/>
      <c r="N58" s="147" t="s">
        <v>277</v>
      </c>
      <c r="O58" s="146"/>
      <c r="P58" s="158"/>
      <c r="Q58" s="146" t="s">
        <v>43</v>
      </c>
      <c r="R58" s="149">
        <v>0</v>
      </c>
      <c r="S58" s="149">
        <v>0</v>
      </c>
      <c r="T58" s="246">
        <v>11166</v>
      </c>
      <c r="U58" s="153"/>
      <c r="V58" s="153"/>
      <c r="W58" s="153"/>
      <c r="X58" s="153"/>
    </row>
    <row r="59" spans="1:24" s="12" customFormat="1" ht="14.4" x14ac:dyDescent="0.3">
      <c r="A59" s="147" t="s">
        <v>216</v>
      </c>
      <c r="B59" s="158" t="s">
        <v>362</v>
      </c>
      <c r="C59" s="146"/>
      <c r="D59" s="149" t="s">
        <v>40</v>
      </c>
      <c r="E59" s="149">
        <v>0</v>
      </c>
      <c r="F59" s="149">
        <v>0</v>
      </c>
      <c r="G59" s="144">
        <v>464.99999999999994</v>
      </c>
      <c r="L59" s="232"/>
      <c r="N59" s="147" t="s">
        <v>278</v>
      </c>
      <c r="O59" s="146"/>
      <c r="P59" s="158"/>
      <c r="Q59" s="146" t="s">
        <v>43</v>
      </c>
      <c r="R59" s="149">
        <v>0</v>
      </c>
      <c r="S59" s="149">
        <v>0</v>
      </c>
      <c r="T59" s="246">
        <v>6514</v>
      </c>
      <c r="U59" s="153"/>
      <c r="V59" s="153"/>
      <c r="W59" s="153"/>
      <c r="X59" s="153"/>
    </row>
    <row r="60" spans="1:24" s="12" customFormat="1" ht="14.4" x14ac:dyDescent="0.3">
      <c r="A60" s="147" t="s">
        <v>217</v>
      </c>
      <c r="B60" s="158" t="s">
        <v>362</v>
      </c>
      <c r="C60" s="146"/>
      <c r="D60" s="149" t="s">
        <v>40</v>
      </c>
      <c r="E60" s="149">
        <v>0</v>
      </c>
      <c r="F60" s="149">
        <v>0</v>
      </c>
      <c r="G60" s="144">
        <v>15455</v>
      </c>
      <c r="L60" s="232"/>
      <c r="N60" s="147" t="s">
        <v>279</v>
      </c>
      <c r="O60" s="146"/>
      <c r="P60" s="158" t="s">
        <v>305</v>
      </c>
      <c r="Q60" s="146" t="s">
        <v>45</v>
      </c>
      <c r="R60" s="149">
        <v>0</v>
      </c>
      <c r="S60" s="149">
        <v>0</v>
      </c>
      <c r="T60" s="246">
        <v>119</v>
      </c>
      <c r="U60" s="153"/>
      <c r="V60" s="153"/>
      <c r="W60" s="153"/>
      <c r="X60" s="153"/>
    </row>
    <row r="61" spans="1:24" s="12" customFormat="1" ht="14.4" x14ac:dyDescent="0.3">
      <c r="A61" s="147" t="s">
        <v>218</v>
      </c>
      <c r="B61" s="158" t="s">
        <v>362</v>
      </c>
      <c r="C61" s="146"/>
      <c r="D61" s="149" t="s">
        <v>40</v>
      </c>
      <c r="E61" s="149">
        <v>0</v>
      </c>
      <c r="F61" s="149">
        <v>0</v>
      </c>
      <c r="G61" s="144">
        <v>27975</v>
      </c>
      <c r="L61" s="232"/>
      <c r="N61" s="147" t="s">
        <v>34</v>
      </c>
      <c r="O61" s="146"/>
      <c r="P61" s="158" t="s">
        <v>306</v>
      </c>
      <c r="Q61" s="146" t="s">
        <v>48</v>
      </c>
      <c r="R61" s="149">
        <v>0</v>
      </c>
      <c r="S61" s="149">
        <v>0</v>
      </c>
      <c r="T61" s="246">
        <v>188688</v>
      </c>
      <c r="U61" s="153"/>
      <c r="V61" s="153"/>
      <c r="W61" s="153"/>
      <c r="X61" s="153"/>
    </row>
    <row r="62" spans="1:24" s="12" customFormat="1" ht="14.4" x14ac:dyDescent="0.3">
      <c r="A62" s="147" t="s">
        <v>219</v>
      </c>
      <c r="B62" s="158" t="s">
        <v>362</v>
      </c>
      <c r="C62" s="146"/>
      <c r="D62" s="149" t="s">
        <v>40</v>
      </c>
      <c r="E62" s="149">
        <v>0</v>
      </c>
      <c r="F62" s="149">
        <v>0</v>
      </c>
      <c r="G62" s="144">
        <v>2046</v>
      </c>
      <c r="L62" s="232"/>
      <c r="N62" s="147" t="s">
        <v>280</v>
      </c>
      <c r="O62" s="146"/>
      <c r="P62" s="158"/>
      <c r="Q62" s="146" t="s">
        <v>43</v>
      </c>
      <c r="R62" s="149">
        <v>0</v>
      </c>
      <c r="S62" s="149">
        <v>0</v>
      </c>
      <c r="T62" s="246">
        <v>2816</v>
      </c>
      <c r="U62" s="153"/>
      <c r="V62" s="153"/>
      <c r="W62" s="153"/>
      <c r="X62" s="153"/>
    </row>
    <row r="63" spans="1:24" s="12" customFormat="1" ht="14.4" x14ac:dyDescent="0.3">
      <c r="A63" s="147" t="s">
        <v>220</v>
      </c>
      <c r="B63" s="158" t="s">
        <v>363</v>
      </c>
      <c r="C63" s="146"/>
      <c r="D63" s="149" t="s">
        <v>40</v>
      </c>
      <c r="E63" s="149">
        <v>0</v>
      </c>
      <c r="F63" s="149">
        <v>0</v>
      </c>
      <c r="G63" s="144">
        <v>21592.25</v>
      </c>
      <c r="L63" s="232"/>
      <c r="N63" s="147" t="s">
        <v>281</v>
      </c>
      <c r="O63" s="146"/>
      <c r="P63" s="158"/>
      <c r="Q63" s="146" t="s">
        <v>43</v>
      </c>
      <c r="R63" s="149">
        <v>0</v>
      </c>
      <c r="S63" s="149">
        <v>0</v>
      </c>
      <c r="T63" s="246">
        <v>7996</v>
      </c>
      <c r="U63" s="153"/>
      <c r="V63" s="153"/>
      <c r="W63" s="153"/>
      <c r="X63" s="153"/>
    </row>
    <row r="64" spans="1:24" s="12" customFormat="1" ht="14.4" x14ac:dyDescent="0.3">
      <c r="A64" s="147" t="s">
        <v>221</v>
      </c>
      <c r="B64" s="158" t="s">
        <v>363</v>
      </c>
      <c r="C64" s="146"/>
      <c r="D64" s="149" t="s">
        <v>40</v>
      </c>
      <c r="E64" s="149">
        <v>0</v>
      </c>
      <c r="F64" s="149">
        <v>0</v>
      </c>
      <c r="G64" s="144">
        <v>8821</v>
      </c>
      <c r="L64" s="232"/>
      <c r="N64" s="147" t="s">
        <v>282</v>
      </c>
      <c r="O64" s="146"/>
      <c r="P64" s="158"/>
      <c r="Q64" s="146" t="s">
        <v>43</v>
      </c>
      <c r="R64" s="149">
        <v>0</v>
      </c>
      <c r="S64" s="149">
        <v>0</v>
      </c>
      <c r="T64" s="246">
        <v>8213</v>
      </c>
      <c r="U64" s="153"/>
      <c r="V64" s="153"/>
      <c r="W64" s="153"/>
      <c r="X64" s="153"/>
    </row>
    <row r="65" spans="1:24" s="12" customFormat="1" ht="14.4" x14ac:dyDescent="0.3">
      <c r="A65" s="147" t="s">
        <v>222</v>
      </c>
      <c r="B65" s="158" t="s">
        <v>363</v>
      </c>
      <c r="C65" s="146"/>
      <c r="D65" s="149" t="s">
        <v>40</v>
      </c>
      <c r="E65" s="149">
        <v>0</v>
      </c>
      <c r="F65" s="149">
        <v>0</v>
      </c>
      <c r="G65" s="144">
        <v>9585.9166666666697</v>
      </c>
      <c r="L65" s="232"/>
      <c r="N65" s="147" t="s">
        <v>283</v>
      </c>
      <c r="O65" s="146"/>
      <c r="P65" s="158"/>
      <c r="Q65" s="146" t="s">
        <v>43</v>
      </c>
      <c r="R65" s="149">
        <v>0</v>
      </c>
      <c r="S65" s="149">
        <v>0</v>
      </c>
      <c r="T65" s="246">
        <v>8412</v>
      </c>
      <c r="U65" s="153"/>
      <c r="V65" s="153"/>
      <c r="W65" s="153"/>
      <c r="X65" s="153"/>
    </row>
    <row r="66" spans="1:24" s="12" customFormat="1" ht="14.4" x14ac:dyDescent="0.3">
      <c r="A66" s="147" t="s">
        <v>223</v>
      </c>
      <c r="B66" s="158" t="s">
        <v>363</v>
      </c>
      <c r="C66" s="146"/>
      <c r="D66" s="149" t="s">
        <v>40</v>
      </c>
      <c r="E66" s="149">
        <v>0</v>
      </c>
      <c r="F66" s="149">
        <v>0</v>
      </c>
      <c r="G66" s="144">
        <v>17015.000000000004</v>
      </c>
      <c r="L66" s="232"/>
      <c r="N66" s="147" t="s">
        <v>284</v>
      </c>
      <c r="O66" s="146"/>
      <c r="P66" s="158"/>
      <c r="Q66" s="146" t="s">
        <v>43</v>
      </c>
      <c r="R66" s="149">
        <v>0</v>
      </c>
      <c r="S66" s="149">
        <v>0</v>
      </c>
      <c r="T66" s="246">
        <v>10199</v>
      </c>
      <c r="U66" s="153"/>
      <c r="V66" s="153"/>
      <c r="W66" s="153"/>
      <c r="X66" s="153"/>
    </row>
    <row r="67" spans="1:24" s="12" customFormat="1" ht="14.4" x14ac:dyDescent="0.3">
      <c r="A67" s="147" t="s">
        <v>224</v>
      </c>
      <c r="B67" s="158" t="s">
        <v>363</v>
      </c>
      <c r="C67" s="146"/>
      <c r="D67" s="149" t="s">
        <v>40</v>
      </c>
      <c r="E67" s="149">
        <v>0</v>
      </c>
      <c r="F67" s="149">
        <v>0</v>
      </c>
      <c r="G67" s="144">
        <v>14250.000000000002</v>
      </c>
      <c r="L67" s="232"/>
      <c r="N67" s="147" t="s">
        <v>63</v>
      </c>
      <c r="O67" s="146"/>
      <c r="P67" s="158"/>
      <c r="Q67" s="146" t="s">
        <v>43</v>
      </c>
      <c r="R67" s="149">
        <v>0</v>
      </c>
      <c r="S67" s="149">
        <v>0</v>
      </c>
      <c r="T67" s="246">
        <v>1904</v>
      </c>
      <c r="U67" s="153"/>
      <c r="V67" s="153"/>
      <c r="W67" s="153"/>
      <c r="X67" s="153"/>
    </row>
    <row r="68" spans="1:24" s="12" customFormat="1" ht="15" thickBot="1" x14ac:dyDescent="0.35">
      <c r="A68" s="150" t="s">
        <v>225</v>
      </c>
      <c r="B68" s="148"/>
      <c r="C68" s="148" t="s">
        <v>241</v>
      </c>
      <c r="D68" s="226" t="s">
        <v>41</v>
      </c>
      <c r="E68" s="226">
        <v>0</v>
      </c>
      <c r="F68" s="226">
        <v>0</v>
      </c>
      <c r="G68" s="145">
        <v>6571.3499999999995</v>
      </c>
      <c r="L68" s="232"/>
      <c r="N68" s="197" t="s">
        <v>285</v>
      </c>
      <c r="O68" s="223"/>
      <c r="P68" s="223" t="s">
        <v>371</v>
      </c>
      <c r="Q68" s="223" t="s">
        <v>45</v>
      </c>
      <c r="R68" s="224">
        <v>1</v>
      </c>
      <c r="S68" s="224">
        <v>1</v>
      </c>
      <c r="T68" s="247">
        <v>285</v>
      </c>
      <c r="U68" s="153"/>
      <c r="V68" s="153"/>
      <c r="W68" s="153"/>
      <c r="X68" s="153"/>
    </row>
    <row r="69" spans="1:24" s="12" customFormat="1" ht="15" thickBot="1" x14ac:dyDescent="0.35">
      <c r="B69" s="153"/>
      <c r="C69" s="153"/>
      <c r="D69" s="153"/>
      <c r="E69" s="153"/>
      <c r="F69" s="153"/>
      <c r="G69"/>
      <c r="L69" s="232"/>
      <c r="N69" s="197" t="s">
        <v>286</v>
      </c>
      <c r="O69" s="227"/>
      <c r="P69" s="223" t="s">
        <v>371</v>
      </c>
      <c r="Q69" s="223" t="s">
        <v>45</v>
      </c>
      <c r="R69" s="224">
        <v>1</v>
      </c>
      <c r="S69" s="224">
        <v>1</v>
      </c>
      <c r="T69" s="247">
        <v>6538</v>
      </c>
      <c r="U69" s="153"/>
      <c r="V69" s="153"/>
      <c r="W69" s="153"/>
      <c r="X69" s="153"/>
    </row>
    <row r="70" spans="1:24" s="12" customFormat="1" ht="15" thickBot="1" x14ac:dyDescent="0.35">
      <c r="B70" s="153"/>
      <c r="C70" s="153"/>
      <c r="D70" s="234"/>
      <c r="E70" s="151" t="s">
        <v>84</v>
      </c>
      <c r="F70" s="154"/>
      <c r="G70" s="152">
        <f>SUBTOTAL(9,G2:G69)</f>
        <v>1548892.5333333332</v>
      </c>
      <c r="L70" s="232"/>
      <c r="N70" s="197" t="s">
        <v>287</v>
      </c>
      <c r="O70" s="227"/>
      <c r="P70" s="223" t="s">
        <v>371</v>
      </c>
      <c r="Q70" s="223" t="s">
        <v>45</v>
      </c>
      <c r="R70" s="224">
        <v>1</v>
      </c>
      <c r="S70" s="224">
        <v>1</v>
      </c>
      <c r="T70" s="228">
        <v>7269</v>
      </c>
      <c r="U70" s="153"/>
      <c r="V70" s="153"/>
      <c r="W70" s="153"/>
      <c r="X70" s="153"/>
    </row>
    <row r="71" spans="1:24" s="12" customFormat="1" ht="14.4" x14ac:dyDescent="0.3">
      <c r="B71" s="153"/>
      <c r="C71" s="153"/>
      <c r="D71" s="153"/>
      <c r="E71" s="153"/>
      <c r="F71" s="153"/>
      <c r="G71"/>
      <c r="L71" s="232"/>
      <c r="N71" s="147" t="s">
        <v>288</v>
      </c>
      <c r="O71" s="122"/>
      <c r="P71" s="122"/>
      <c r="Q71" s="146" t="s">
        <v>40</v>
      </c>
      <c r="R71" s="149">
        <v>0</v>
      </c>
      <c r="S71" s="149">
        <v>0</v>
      </c>
      <c r="T71" s="246">
        <v>4</v>
      </c>
    </row>
    <row r="72" spans="1:24" s="12" customFormat="1" ht="14.4" x14ac:dyDescent="0.3">
      <c r="B72" s="153"/>
      <c r="C72" s="153"/>
      <c r="D72" s="153"/>
      <c r="E72" s="153"/>
      <c r="F72" s="153"/>
      <c r="G72" s="232"/>
      <c r="L72" s="232"/>
      <c r="N72" s="197" t="s">
        <v>64</v>
      </c>
      <c r="O72" s="227"/>
      <c r="P72" s="227"/>
      <c r="Q72" s="223" t="s">
        <v>46</v>
      </c>
      <c r="R72" s="224">
        <v>1</v>
      </c>
      <c r="S72" s="224">
        <v>1</v>
      </c>
      <c r="T72" s="247">
        <v>72288973</v>
      </c>
    </row>
    <row r="73" spans="1:24" s="12" customFormat="1" ht="14.4" x14ac:dyDescent="0.3">
      <c r="B73" s="153"/>
      <c r="C73" s="153"/>
      <c r="D73" s="153"/>
      <c r="E73" s="153"/>
      <c r="F73" s="153"/>
      <c r="G73"/>
      <c r="L73" s="232"/>
      <c r="N73" s="197" t="s">
        <v>289</v>
      </c>
      <c r="O73" s="227"/>
      <c r="P73" s="223" t="s">
        <v>371</v>
      </c>
      <c r="Q73" s="223" t="s">
        <v>45</v>
      </c>
      <c r="R73" s="224">
        <v>1</v>
      </c>
      <c r="S73" s="224">
        <v>1</v>
      </c>
      <c r="T73" s="247">
        <v>377</v>
      </c>
    </row>
    <row r="74" spans="1:24" s="12" customFormat="1" ht="14.4" x14ac:dyDescent="0.3">
      <c r="B74" s="153"/>
      <c r="C74" s="153"/>
      <c r="D74" s="153"/>
      <c r="E74" s="153"/>
      <c r="F74" s="153"/>
      <c r="G74"/>
      <c r="L74" s="232"/>
      <c r="N74" s="197" t="s">
        <v>290</v>
      </c>
      <c r="O74" s="227"/>
      <c r="P74" s="223" t="s">
        <v>371</v>
      </c>
      <c r="Q74" s="223" t="s">
        <v>45</v>
      </c>
      <c r="R74" s="224">
        <v>1</v>
      </c>
      <c r="S74" s="224">
        <v>1</v>
      </c>
      <c r="T74" s="247">
        <v>491</v>
      </c>
    </row>
    <row r="75" spans="1:24" s="12" customFormat="1" ht="14.4" x14ac:dyDescent="0.3">
      <c r="B75" s="153"/>
      <c r="C75" s="153"/>
      <c r="D75" s="153"/>
      <c r="E75" s="153"/>
      <c r="F75" s="153"/>
      <c r="G75"/>
      <c r="L75" s="232"/>
      <c r="N75" s="147" t="s">
        <v>65</v>
      </c>
      <c r="O75" s="122"/>
      <c r="P75" s="122"/>
      <c r="Q75" s="146" t="s">
        <v>41</v>
      </c>
      <c r="R75" s="149">
        <v>0</v>
      </c>
      <c r="S75" s="149">
        <v>0</v>
      </c>
      <c r="T75" s="246">
        <v>705586</v>
      </c>
    </row>
    <row r="76" spans="1:24" s="12" customFormat="1" ht="14.4" x14ac:dyDescent="0.3">
      <c r="B76" s="153"/>
      <c r="C76" s="153"/>
      <c r="D76" s="153"/>
      <c r="E76" s="153"/>
      <c r="F76" s="153"/>
      <c r="G76"/>
      <c r="L76" s="232"/>
      <c r="N76" s="147" t="s">
        <v>35</v>
      </c>
      <c r="O76" s="122"/>
      <c r="P76" s="122"/>
      <c r="Q76" s="146" t="s">
        <v>40</v>
      </c>
      <c r="R76" s="149">
        <v>0</v>
      </c>
      <c r="S76" s="149">
        <v>0</v>
      </c>
      <c r="T76" s="246">
        <v>129</v>
      </c>
    </row>
    <row r="77" spans="1:24" s="12" customFormat="1" ht="14.4" x14ac:dyDescent="0.3">
      <c r="B77" s="153"/>
      <c r="C77" s="153"/>
      <c r="D77" s="153"/>
      <c r="E77" s="153"/>
      <c r="F77" s="153"/>
      <c r="G77"/>
      <c r="L77" s="232"/>
      <c r="N77" s="147" t="s">
        <v>36</v>
      </c>
      <c r="O77" s="122"/>
      <c r="P77" s="122"/>
      <c r="Q77" s="146" t="s">
        <v>40</v>
      </c>
      <c r="R77" s="149">
        <v>0</v>
      </c>
      <c r="S77" s="149">
        <v>0</v>
      </c>
      <c r="T77" s="246">
        <v>210</v>
      </c>
    </row>
    <row r="78" spans="1:24" s="12" customFormat="1" ht="14.4" x14ac:dyDescent="0.3">
      <c r="B78" s="153"/>
      <c r="C78" s="153"/>
      <c r="D78" s="153"/>
      <c r="E78" s="153"/>
      <c r="F78" s="153"/>
      <c r="G78"/>
      <c r="L78" s="232"/>
      <c r="N78" s="147" t="s">
        <v>37</v>
      </c>
      <c r="O78" s="122"/>
      <c r="P78" s="122"/>
      <c r="Q78" s="146" t="s">
        <v>40</v>
      </c>
      <c r="R78" s="149">
        <v>0</v>
      </c>
      <c r="S78" s="149">
        <v>0</v>
      </c>
      <c r="T78" s="246">
        <v>94</v>
      </c>
    </row>
    <row r="79" spans="1:24" s="12" customFormat="1" ht="14.4" x14ac:dyDescent="0.3">
      <c r="B79" s="153"/>
      <c r="C79" s="153"/>
      <c r="D79" s="153"/>
      <c r="E79" s="153"/>
      <c r="F79" s="153"/>
      <c r="G79"/>
      <c r="L79" s="232"/>
      <c r="N79" s="147" t="s">
        <v>38</v>
      </c>
      <c r="O79" s="122"/>
      <c r="P79" s="122"/>
      <c r="Q79" s="146" t="s">
        <v>41</v>
      </c>
      <c r="R79" s="149">
        <v>0</v>
      </c>
      <c r="S79" s="149">
        <v>0</v>
      </c>
      <c r="T79" s="246">
        <v>539</v>
      </c>
    </row>
    <row r="80" spans="1:24" s="12" customFormat="1" ht="14.4" x14ac:dyDescent="0.3">
      <c r="B80" s="153"/>
      <c r="C80" s="153"/>
      <c r="D80" s="153"/>
      <c r="E80" s="153"/>
      <c r="F80" s="153"/>
      <c r="G80"/>
      <c r="L80" s="232"/>
      <c r="N80" s="147" t="s">
        <v>291</v>
      </c>
      <c r="O80" s="122"/>
      <c r="P80" s="122" t="s">
        <v>307</v>
      </c>
      <c r="Q80" s="146" t="s">
        <v>45</v>
      </c>
      <c r="R80" s="149">
        <v>0</v>
      </c>
      <c r="S80" s="149">
        <v>0</v>
      </c>
      <c r="T80" s="246">
        <v>980</v>
      </c>
    </row>
    <row r="81" spans="2:20" s="12" customFormat="1" ht="14.4" x14ac:dyDescent="0.3">
      <c r="B81" s="153"/>
      <c r="C81" s="153"/>
      <c r="D81" s="153"/>
      <c r="E81" s="153"/>
      <c r="F81" s="153"/>
      <c r="G81"/>
      <c r="L81" s="232"/>
      <c r="N81" s="147" t="s">
        <v>292</v>
      </c>
      <c r="O81" s="122"/>
      <c r="P81" s="122"/>
      <c r="Q81" s="146" t="s">
        <v>43</v>
      </c>
      <c r="R81" s="149">
        <v>0</v>
      </c>
      <c r="S81" s="149">
        <v>0</v>
      </c>
      <c r="T81" s="246">
        <v>545</v>
      </c>
    </row>
    <row r="82" spans="2:20" s="12" customFormat="1" ht="14.4" x14ac:dyDescent="0.3">
      <c r="B82" s="153"/>
      <c r="C82" s="153"/>
      <c r="D82" s="153"/>
      <c r="E82" s="153"/>
      <c r="F82" s="153"/>
      <c r="G82"/>
      <c r="L82" s="232"/>
      <c r="N82" s="147" t="s">
        <v>293</v>
      </c>
      <c r="O82" s="122"/>
      <c r="P82" s="122" t="s">
        <v>308</v>
      </c>
      <c r="Q82" s="146" t="s">
        <v>45</v>
      </c>
      <c r="R82" s="149">
        <v>0</v>
      </c>
      <c r="S82" s="149">
        <v>0</v>
      </c>
      <c r="T82" s="246">
        <v>149</v>
      </c>
    </row>
    <row r="83" spans="2:20" s="12" customFormat="1" ht="15" thickBot="1" x14ac:dyDescent="0.35">
      <c r="B83" s="153"/>
      <c r="C83" s="153"/>
      <c r="D83" s="153"/>
      <c r="E83" s="153"/>
      <c r="F83" s="153"/>
      <c r="G83"/>
      <c r="L83" s="232"/>
      <c r="N83" s="150" t="s">
        <v>294</v>
      </c>
      <c r="O83" s="156"/>
      <c r="P83" s="156"/>
      <c r="Q83" s="148">
        <v>0</v>
      </c>
      <c r="R83" s="226">
        <v>0</v>
      </c>
      <c r="S83" s="226">
        <v>0</v>
      </c>
      <c r="T83" s="388">
        <v>176</v>
      </c>
    </row>
    <row r="84" spans="2:20" s="12" customFormat="1" ht="15" thickBot="1" x14ac:dyDescent="0.35">
      <c r="B84" s="153"/>
      <c r="C84" s="153"/>
      <c r="D84" s="153"/>
      <c r="E84" s="153"/>
      <c r="F84" s="153"/>
      <c r="G84"/>
      <c r="L84" s="232"/>
      <c r="R84" s="153"/>
      <c r="S84" s="153"/>
      <c r="T84" s="232"/>
    </row>
    <row r="85" spans="2:20" s="12" customFormat="1" ht="15" thickBot="1" x14ac:dyDescent="0.35">
      <c r="B85" s="153"/>
      <c r="C85" s="153"/>
      <c r="D85" s="153"/>
      <c r="E85" s="153"/>
      <c r="F85" s="153"/>
      <c r="G85"/>
      <c r="L85" s="232"/>
      <c r="R85" s="235" t="s">
        <v>84</v>
      </c>
      <c r="S85" s="243"/>
      <c r="T85" s="236">
        <f>SUMIFS(T2:T83,R2:R83,"=0")</f>
        <v>7446172</v>
      </c>
    </row>
    <row r="86" spans="2:20" s="12" customFormat="1" ht="14.4" x14ac:dyDescent="0.3">
      <c r="B86" s="153"/>
      <c r="C86" s="153"/>
      <c r="D86" s="153"/>
      <c r="E86" s="153"/>
      <c r="F86" s="153"/>
      <c r="G86"/>
      <c r="L86" s="232"/>
      <c r="R86" s="153"/>
      <c r="S86" s="153"/>
      <c r="T86" s="232"/>
    </row>
    <row r="87" spans="2:20" s="12" customFormat="1" ht="14.4" x14ac:dyDescent="0.3">
      <c r="B87" s="153"/>
      <c r="C87" s="153"/>
      <c r="D87" s="153"/>
      <c r="E87" s="153"/>
      <c r="F87" s="153"/>
      <c r="G87"/>
      <c r="L87" s="232"/>
      <c r="R87" s="153"/>
      <c r="S87" s="153"/>
      <c r="T87" s="232"/>
    </row>
    <row r="88" spans="2:20" s="12" customFormat="1" ht="14.4" x14ac:dyDescent="0.3">
      <c r="B88" s="153"/>
      <c r="C88" s="153"/>
      <c r="D88" s="153"/>
      <c r="E88" s="153"/>
      <c r="F88" s="153"/>
      <c r="G88"/>
      <c r="L88" s="232"/>
      <c r="R88" s="153"/>
      <c r="S88" s="153"/>
      <c r="T88" s="232"/>
    </row>
    <row r="89" spans="2:20" s="12" customFormat="1" ht="14.4" x14ac:dyDescent="0.3">
      <c r="B89" s="153"/>
      <c r="C89" s="153"/>
      <c r="D89" s="153"/>
      <c r="E89" s="153"/>
      <c r="F89" s="153"/>
      <c r="G89"/>
      <c r="L89" s="232"/>
      <c r="R89" s="153"/>
      <c r="S89" s="153"/>
      <c r="T89" s="232"/>
    </row>
    <row r="90" spans="2:20" s="12" customFormat="1" ht="14.4" x14ac:dyDescent="0.3">
      <c r="B90" s="153"/>
      <c r="C90" s="153"/>
      <c r="D90" s="153"/>
      <c r="E90" s="153"/>
      <c r="F90" s="153"/>
      <c r="G90"/>
      <c r="L90" s="232"/>
      <c r="R90" s="153"/>
      <c r="S90" s="153"/>
      <c r="T90" s="232"/>
    </row>
    <row r="91" spans="2:20" s="12" customFormat="1" ht="14.4" x14ac:dyDescent="0.3">
      <c r="B91" s="153"/>
      <c r="C91" s="153"/>
      <c r="D91" s="153"/>
      <c r="E91" s="153"/>
      <c r="F91" s="153"/>
      <c r="G91"/>
      <c r="L91" s="232"/>
      <c r="R91" s="153"/>
      <c r="S91" s="153"/>
      <c r="T91" s="232"/>
    </row>
    <row r="92" spans="2:20" s="12" customFormat="1" ht="14.4" x14ac:dyDescent="0.3">
      <c r="B92" s="153"/>
      <c r="C92" s="153"/>
      <c r="D92" s="153"/>
      <c r="E92" s="153"/>
      <c r="F92" s="153"/>
      <c r="G92"/>
      <c r="L92" s="232"/>
      <c r="R92" s="153"/>
      <c r="S92" s="153"/>
      <c r="T92" s="232"/>
    </row>
  </sheetData>
  <mergeCells count="4">
    <mergeCell ref="I13:K13"/>
    <mergeCell ref="V13:X13"/>
    <mergeCell ref="V14:X14"/>
    <mergeCell ref="I14:K14"/>
  </mergeCells>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8DBBC3-2F6E-4F74-9731-6A90B0FA0F89}">
  <sheetPr codeName="Sheet8">
    <tabColor rgb="FF92D050"/>
  </sheetPr>
  <dimension ref="A1:AA50"/>
  <sheetViews>
    <sheetView zoomScale="85" zoomScaleNormal="85" workbookViewId="0">
      <selection activeCell="D24" sqref="D24"/>
    </sheetView>
  </sheetViews>
  <sheetFormatPr defaultRowHeight="14.4" x14ac:dyDescent="0.3"/>
  <cols>
    <col min="1" max="1" width="15.21875" style="35" customWidth="1"/>
    <col min="2" max="2" width="51.88671875" style="35" bestFit="1" customWidth="1"/>
    <col min="3" max="22" width="9.44140625" style="55" customWidth="1"/>
    <col min="23" max="23" width="3.21875" style="35" customWidth="1"/>
    <col min="24" max="24" width="3.109375" style="35" customWidth="1"/>
    <col min="25" max="25" width="41.5546875" style="35" bestFit="1" customWidth="1"/>
    <col min="26" max="26" width="7.33203125" style="35" bestFit="1" customWidth="1"/>
    <col min="27" max="27" width="7" style="35" bestFit="1" customWidth="1"/>
    <col min="28" max="16384" width="8.88671875" style="35"/>
  </cols>
  <sheetData>
    <row r="1" spans="1:27" s="11" customFormat="1" ht="13.8" x14ac:dyDescent="0.25">
      <c r="A1" s="30" t="s">
        <v>16</v>
      </c>
      <c r="B1" s="30" t="s">
        <v>128</v>
      </c>
      <c r="C1" s="30">
        <v>2021</v>
      </c>
      <c r="D1" s="31">
        <v>2022</v>
      </c>
      <c r="E1" s="30">
        <v>2023</v>
      </c>
      <c r="F1" s="31">
        <v>2024</v>
      </c>
      <c r="G1" s="30">
        <v>2025</v>
      </c>
      <c r="H1" s="31">
        <v>2026</v>
      </c>
      <c r="I1" s="30">
        <v>2027</v>
      </c>
      <c r="J1" s="31">
        <v>2028</v>
      </c>
      <c r="K1" s="30">
        <v>2029</v>
      </c>
      <c r="L1" s="31">
        <v>2030</v>
      </c>
      <c r="M1" s="30">
        <v>2031</v>
      </c>
      <c r="N1" s="31">
        <v>2032</v>
      </c>
      <c r="O1" s="30">
        <v>2033</v>
      </c>
      <c r="P1" s="31">
        <v>2034</v>
      </c>
      <c r="Q1" s="30">
        <v>2035</v>
      </c>
      <c r="R1" s="31">
        <v>2036</v>
      </c>
      <c r="S1" s="30">
        <v>2037</v>
      </c>
      <c r="T1" s="31">
        <v>2038</v>
      </c>
      <c r="U1" s="30">
        <v>2039</v>
      </c>
      <c r="V1" s="31">
        <v>2040</v>
      </c>
    </row>
    <row r="2" spans="1:27" x14ac:dyDescent="0.3">
      <c r="A2" s="32" t="s">
        <v>47</v>
      </c>
      <c r="B2" s="33" t="s">
        <v>41</v>
      </c>
      <c r="C2" s="41">
        <v>1</v>
      </c>
      <c r="D2" s="41">
        <v>1</v>
      </c>
      <c r="E2" s="41">
        <v>0</v>
      </c>
      <c r="F2" s="41">
        <v>0</v>
      </c>
      <c r="G2" s="41">
        <v>0</v>
      </c>
      <c r="H2" s="41">
        <v>0</v>
      </c>
      <c r="I2" s="41">
        <v>0</v>
      </c>
      <c r="J2" s="41">
        <v>0</v>
      </c>
      <c r="K2" s="41">
        <v>0</v>
      </c>
      <c r="L2" s="41">
        <v>0</v>
      </c>
      <c r="M2" s="41">
        <v>0</v>
      </c>
      <c r="N2" s="41">
        <v>0</v>
      </c>
      <c r="O2" s="41">
        <v>0</v>
      </c>
      <c r="P2" s="41">
        <v>0</v>
      </c>
      <c r="Q2" s="41">
        <v>0</v>
      </c>
      <c r="R2" s="41">
        <v>0</v>
      </c>
      <c r="S2" s="41">
        <v>0</v>
      </c>
      <c r="T2" s="41">
        <v>0</v>
      </c>
      <c r="U2" s="41">
        <v>0</v>
      </c>
      <c r="V2" s="41">
        <v>0</v>
      </c>
    </row>
    <row r="3" spans="1:27" x14ac:dyDescent="0.3">
      <c r="A3" s="32" t="s">
        <v>17</v>
      </c>
      <c r="B3" s="33" t="s">
        <v>41</v>
      </c>
      <c r="C3" s="41">
        <v>1</v>
      </c>
      <c r="D3" s="41">
        <v>1</v>
      </c>
      <c r="E3" s="41">
        <v>1</v>
      </c>
      <c r="F3" s="41">
        <v>1</v>
      </c>
      <c r="G3" s="41">
        <v>0</v>
      </c>
      <c r="H3" s="41">
        <v>0</v>
      </c>
      <c r="I3" s="41">
        <v>0</v>
      </c>
      <c r="J3" s="41">
        <v>0</v>
      </c>
      <c r="K3" s="41">
        <v>0</v>
      </c>
      <c r="L3" s="41">
        <v>0</v>
      </c>
      <c r="M3" s="41">
        <v>0</v>
      </c>
      <c r="N3" s="41">
        <v>0</v>
      </c>
      <c r="O3" s="41">
        <v>0</v>
      </c>
      <c r="P3" s="41">
        <v>0</v>
      </c>
      <c r="Q3" s="41">
        <v>0</v>
      </c>
      <c r="R3" s="41">
        <v>0</v>
      </c>
      <c r="S3" s="41">
        <v>0</v>
      </c>
      <c r="T3" s="41">
        <v>0</v>
      </c>
      <c r="U3" s="41">
        <v>0</v>
      </c>
      <c r="V3" s="41">
        <v>0</v>
      </c>
    </row>
    <row r="4" spans="1:27" x14ac:dyDescent="0.3">
      <c r="A4" s="32" t="s">
        <v>49</v>
      </c>
      <c r="B4" s="33" t="s">
        <v>41</v>
      </c>
      <c r="C4" s="41">
        <v>1</v>
      </c>
      <c r="D4" s="41">
        <v>1</v>
      </c>
      <c r="E4" s="41">
        <v>1</v>
      </c>
      <c r="F4" s="41">
        <v>1</v>
      </c>
      <c r="G4" s="41">
        <v>1</v>
      </c>
      <c r="H4" s="41">
        <v>1</v>
      </c>
      <c r="I4" s="41">
        <v>0</v>
      </c>
      <c r="J4" s="41">
        <v>0</v>
      </c>
      <c r="K4" s="41">
        <v>0</v>
      </c>
      <c r="L4" s="41">
        <v>0</v>
      </c>
      <c r="M4" s="41">
        <v>0</v>
      </c>
      <c r="N4" s="41">
        <v>0</v>
      </c>
      <c r="O4" s="41">
        <v>0</v>
      </c>
      <c r="P4" s="41">
        <v>0</v>
      </c>
      <c r="Q4" s="41">
        <v>0</v>
      </c>
      <c r="R4" s="41">
        <v>0</v>
      </c>
      <c r="S4" s="41">
        <v>0</v>
      </c>
      <c r="T4" s="41">
        <v>0</v>
      </c>
      <c r="U4" s="41">
        <v>0</v>
      </c>
      <c r="V4" s="41">
        <v>0</v>
      </c>
    </row>
    <row r="5" spans="1:27" x14ac:dyDescent="0.3">
      <c r="A5" s="32" t="s">
        <v>50</v>
      </c>
      <c r="B5" s="39" t="s">
        <v>43</v>
      </c>
      <c r="C5" s="56">
        <v>1</v>
      </c>
      <c r="D5" s="56">
        <v>1</v>
      </c>
      <c r="E5" s="56">
        <v>1</v>
      </c>
      <c r="F5" s="56">
        <v>1</v>
      </c>
      <c r="G5" s="56">
        <v>1</v>
      </c>
      <c r="H5" s="56">
        <v>1</v>
      </c>
      <c r="I5" s="56">
        <v>1</v>
      </c>
      <c r="J5" s="56">
        <v>1</v>
      </c>
      <c r="K5" s="56">
        <v>1</v>
      </c>
      <c r="L5" s="56">
        <v>1</v>
      </c>
      <c r="M5" s="56">
        <v>1</v>
      </c>
      <c r="N5" s="56">
        <v>1</v>
      </c>
      <c r="O5" s="56">
        <v>1</v>
      </c>
      <c r="P5" s="56">
        <v>1</v>
      </c>
      <c r="Q5" s="56">
        <v>1</v>
      </c>
      <c r="R5" s="56">
        <v>1</v>
      </c>
      <c r="S5" s="56">
        <v>1</v>
      </c>
      <c r="T5" s="56">
        <v>1</v>
      </c>
      <c r="U5" s="56">
        <v>1</v>
      </c>
      <c r="V5" s="56">
        <v>1</v>
      </c>
    </row>
    <row r="6" spans="1:27" x14ac:dyDescent="0.3">
      <c r="A6" s="32" t="s">
        <v>51</v>
      </c>
      <c r="B6" s="40" t="s">
        <v>42</v>
      </c>
      <c r="C6" s="32">
        <v>1</v>
      </c>
      <c r="D6" s="32">
        <v>1</v>
      </c>
      <c r="E6" s="32">
        <v>1</v>
      </c>
      <c r="F6" s="32">
        <v>1</v>
      </c>
      <c r="G6" s="32">
        <v>0</v>
      </c>
      <c r="H6" s="32">
        <v>0</v>
      </c>
      <c r="I6" s="32">
        <v>0</v>
      </c>
      <c r="J6" s="32">
        <v>0</v>
      </c>
      <c r="K6" s="32">
        <v>0</v>
      </c>
      <c r="L6" s="32">
        <v>0</v>
      </c>
      <c r="M6" s="32">
        <v>0</v>
      </c>
      <c r="N6" s="32">
        <v>0</v>
      </c>
      <c r="O6" s="32">
        <v>0</v>
      </c>
      <c r="P6" s="32">
        <v>0</v>
      </c>
      <c r="Q6" s="32">
        <v>0</v>
      </c>
      <c r="R6" s="32">
        <v>0</v>
      </c>
      <c r="S6" s="32">
        <v>0</v>
      </c>
      <c r="T6" s="32">
        <v>0</v>
      </c>
      <c r="U6" s="32">
        <v>0</v>
      </c>
      <c r="V6" s="32">
        <v>0</v>
      </c>
    </row>
    <row r="7" spans="1:27" x14ac:dyDescent="0.3">
      <c r="A7" s="32" t="s">
        <v>52</v>
      </c>
      <c r="B7" s="33" t="s">
        <v>41</v>
      </c>
      <c r="C7" s="32">
        <v>1</v>
      </c>
      <c r="D7" s="32">
        <v>1</v>
      </c>
      <c r="E7" s="32">
        <v>1</v>
      </c>
      <c r="F7" s="32">
        <v>1</v>
      </c>
      <c r="G7" s="32">
        <v>1</v>
      </c>
      <c r="H7" s="32">
        <v>1</v>
      </c>
      <c r="I7" s="32">
        <v>0</v>
      </c>
      <c r="J7" s="32">
        <v>0</v>
      </c>
      <c r="K7" s="32">
        <v>0</v>
      </c>
      <c r="L7" s="32">
        <v>0</v>
      </c>
      <c r="M7" s="32">
        <v>0</v>
      </c>
      <c r="N7" s="32">
        <v>0</v>
      </c>
      <c r="O7" s="32">
        <v>0</v>
      </c>
      <c r="P7" s="32">
        <v>0</v>
      </c>
      <c r="Q7" s="32">
        <v>0</v>
      </c>
      <c r="R7" s="32">
        <v>0</v>
      </c>
      <c r="S7" s="32">
        <v>0</v>
      </c>
      <c r="T7" s="32">
        <v>0</v>
      </c>
      <c r="U7" s="32">
        <v>0</v>
      </c>
      <c r="V7" s="32">
        <v>0</v>
      </c>
    </row>
    <row r="8" spans="1:27" x14ac:dyDescent="0.3">
      <c r="A8" s="32" t="s">
        <v>18</v>
      </c>
      <c r="B8" s="41" t="s">
        <v>48</v>
      </c>
      <c r="C8" s="41">
        <v>1</v>
      </c>
      <c r="D8" s="41">
        <v>1</v>
      </c>
      <c r="E8" s="41">
        <v>1</v>
      </c>
      <c r="F8" s="41">
        <v>1</v>
      </c>
      <c r="G8" s="41">
        <v>1</v>
      </c>
      <c r="H8" s="41">
        <v>1</v>
      </c>
      <c r="I8" s="41">
        <v>1</v>
      </c>
      <c r="J8" s="41">
        <v>1</v>
      </c>
      <c r="K8" s="41">
        <v>1</v>
      </c>
      <c r="L8" s="41">
        <v>1</v>
      </c>
      <c r="M8" s="41">
        <v>1</v>
      </c>
      <c r="N8" s="41">
        <v>1</v>
      </c>
      <c r="O8" s="41">
        <v>1</v>
      </c>
      <c r="P8" s="41">
        <v>1</v>
      </c>
      <c r="Q8" s="41">
        <v>1</v>
      </c>
      <c r="R8" s="41">
        <v>1</v>
      </c>
      <c r="S8" s="41">
        <v>1</v>
      </c>
      <c r="T8" s="41">
        <v>1</v>
      </c>
      <c r="U8" s="41">
        <v>1</v>
      </c>
      <c r="V8" s="41">
        <v>1</v>
      </c>
    </row>
    <row r="9" spans="1:27" ht="15" thickBot="1" x14ac:dyDescent="0.35">
      <c r="A9" s="32" t="s">
        <v>53</v>
      </c>
      <c r="B9" s="33" t="s">
        <v>41</v>
      </c>
      <c r="C9" s="41"/>
      <c r="D9" s="41"/>
      <c r="E9" s="41"/>
      <c r="F9" s="41"/>
      <c r="G9" s="41"/>
      <c r="H9" s="41"/>
      <c r="I9" s="41"/>
      <c r="J9" s="41"/>
      <c r="K9" s="41"/>
      <c r="L9" s="41"/>
      <c r="M9" s="41"/>
      <c r="N9" s="41"/>
      <c r="O9" s="41"/>
      <c r="P9" s="41"/>
      <c r="Q9" s="41"/>
      <c r="R9" s="41"/>
      <c r="S9" s="41"/>
      <c r="T9" s="41"/>
      <c r="U9" s="41"/>
      <c r="V9" s="41"/>
    </row>
    <row r="10" spans="1:27" x14ac:dyDescent="0.3">
      <c r="A10" s="32" t="s">
        <v>54</v>
      </c>
      <c r="B10" s="40" t="s">
        <v>43</v>
      </c>
      <c r="C10" s="32">
        <v>1</v>
      </c>
      <c r="D10" s="32">
        <v>1</v>
      </c>
      <c r="E10" s="32">
        <v>1</v>
      </c>
      <c r="F10" s="32">
        <v>1</v>
      </c>
      <c r="G10" s="32">
        <v>1</v>
      </c>
      <c r="H10" s="32">
        <v>1</v>
      </c>
      <c r="I10" s="32">
        <v>1</v>
      </c>
      <c r="J10" s="32">
        <v>1</v>
      </c>
      <c r="K10" s="32">
        <v>1</v>
      </c>
      <c r="L10" s="32">
        <v>1</v>
      </c>
      <c r="M10" s="32">
        <v>0</v>
      </c>
      <c r="N10" s="32">
        <v>0</v>
      </c>
      <c r="O10" s="32">
        <v>0</v>
      </c>
      <c r="P10" s="32">
        <v>0</v>
      </c>
      <c r="Q10" s="32">
        <v>0</v>
      </c>
      <c r="R10" s="32">
        <v>0</v>
      </c>
      <c r="S10" s="32">
        <v>0</v>
      </c>
      <c r="T10" s="32">
        <v>0</v>
      </c>
      <c r="U10" s="32">
        <v>0</v>
      </c>
      <c r="V10" s="32">
        <v>0</v>
      </c>
      <c r="Y10" s="57" t="s">
        <v>82</v>
      </c>
      <c r="Z10" s="58" t="s">
        <v>83</v>
      </c>
      <c r="AA10" s="59" t="s">
        <v>92</v>
      </c>
    </row>
    <row r="11" spans="1:27" x14ac:dyDescent="0.3">
      <c r="A11" s="32" t="s">
        <v>55</v>
      </c>
      <c r="B11" s="40" t="s">
        <v>42</v>
      </c>
      <c r="C11" s="32">
        <v>1</v>
      </c>
      <c r="D11" s="32">
        <v>1</v>
      </c>
      <c r="E11" s="32">
        <v>1</v>
      </c>
      <c r="F11" s="32">
        <v>1</v>
      </c>
      <c r="G11" s="32">
        <v>1</v>
      </c>
      <c r="H11" s="32">
        <v>1</v>
      </c>
      <c r="I11" s="32">
        <v>1</v>
      </c>
      <c r="J11" s="32">
        <v>1</v>
      </c>
      <c r="K11" s="32">
        <v>1</v>
      </c>
      <c r="L11" s="32">
        <v>1</v>
      </c>
      <c r="M11" s="32">
        <v>1</v>
      </c>
      <c r="N11" s="32">
        <v>1</v>
      </c>
      <c r="O11" s="32">
        <v>1</v>
      </c>
      <c r="P11" s="32">
        <v>1</v>
      </c>
      <c r="Q11" s="32">
        <v>1</v>
      </c>
      <c r="R11" s="32">
        <v>1</v>
      </c>
      <c r="S11" s="32">
        <v>1</v>
      </c>
      <c r="T11" s="32">
        <v>1</v>
      </c>
      <c r="U11" s="32">
        <v>1</v>
      </c>
      <c r="V11" s="32">
        <v>1</v>
      </c>
      <c r="Y11" s="36" t="s">
        <v>43</v>
      </c>
      <c r="Z11" s="37">
        <f>COUNTIF($B$2:$B$48,Y11)</f>
        <v>6</v>
      </c>
      <c r="AA11" s="38">
        <f>Z11/$Z$20</f>
        <v>0.14634146341463414</v>
      </c>
    </row>
    <row r="12" spans="1:27" x14ac:dyDescent="0.3">
      <c r="A12" s="32" t="s">
        <v>56</v>
      </c>
      <c r="B12" s="39" t="s">
        <v>43</v>
      </c>
      <c r="C12" s="32">
        <v>1</v>
      </c>
      <c r="D12" s="32">
        <v>1</v>
      </c>
      <c r="E12" s="32">
        <v>1</v>
      </c>
      <c r="F12" s="32">
        <v>1</v>
      </c>
      <c r="G12" s="32">
        <v>1</v>
      </c>
      <c r="H12" s="32">
        <v>1</v>
      </c>
      <c r="I12" s="32">
        <v>1</v>
      </c>
      <c r="J12" s="32">
        <v>1</v>
      </c>
      <c r="K12" s="32">
        <v>1</v>
      </c>
      <c r="L12" s="32">
        <v>1</v>
      </c>
      <c r="M12" s="32">
        <v>1</v>
      </c>
      <c r="N12" s="32">
        <v>1</v>
      </c>
      <c r="O12" s="32">
        <v>1</v>
      </c>
      <c r="P12" s="32">
        <v>1</v>
      </c>
      <c r="Q12" s="32">
        <v>1</v>
      </c>
      <c r="R12" s="32">
        <v>1</v>
      </c>
      <c r="S12" s="32">
        <v>1</v>
      </c>
      <c r="T12" s="32">
        <v>1</v>
      </c>
      <c r="U12" s="32">
        <v>1</v>
      </c>
      <c r="V12" s="32">
        <v>1</v>
      </c>
      <c r="Y12" s="36" t="s">
        <v>41</v>
      </c>
      <c r="Z12" s="37">
        <f t="shared" ref="Z12:Z18" si="0">COUNTIF($B$2:$B$48,Y12)</f>
        <v>19</v>
      </c>
      <c r="AA12" s="38">
        <f t="shared" ref="AA12:AA18" si="1">Z12/$Z$20</f>
        <v>0.46341463414634149</v>
      </c>
    </row>
    <row r="13" spans="1:27" x14ac:dyDescent="0.3">
      <c r="A13" s="32" t="s">
        <v>66</v>
      </c>
      <c r="B13" s="41" t="s">
        <v>48</v>
      </c>
      <c r="C13" s="32">
        <v>1</v>
      </c>
      <c r="D13" s="32">
        <v>1</v>
      </c>
      <c r="E13" s="32">
        <v>1</v>
      </c>
      <c r="F13" s="32">
        <v>0</v>
      </c>
      <c r="G13" s="32">
        <v>0</v>
      </c>
      <c r="H13" s="32">
        <v>0</v>
      </c>
      <c r="I13" s="32">
        <v>0</v>
      </c>
      <c r="J13" s="32">
        <v>0</v>
      </c>
      <c r="K13" s="32">
        <v>0</v>
      </c>
      <c r="L13" s="32">
        <v>0</v>
      </c>
      <c r="M13" s="32">
        <v>0</v>
      </c>
      <c r="N13" s="32">
        <v>0</v>
      </c>
      <c r="O13" s="32">
        <v>0</v>
      </c>
      <c r="P13" s="32">
        <v>0</v>
      </c>
      <c r="Q13" s="32">
        <v>0</v>
      </c>
      <c r="R13" s="32">
        <v>0</v>
      </c>
      <c r="S13" s="32">
        <v>0</v>
      </c>
      <c r="T13" s="32">
        <v>0</v>
      </c>
      <c r="U13" s="32">
        <v>0</v>
      </c>
      <c r="V13" s="32">
        <v>0</v>
      </c>
      <c r="Y13" s="36" t="s">
        <v>40</v>
      </c>
      <c r="Z13" s="37">
        <f t="shared" si="0"/>
        <v>8</v>
      </c>
      <c r="AA13" s="38">
        <f t="shared" si="1"/>
        <v>0.1951219512195122</v>
      </c>
    </row>
    <row r="14" spans="1:27" x14ac:dyDescent="0.3">
      <c r="A14" s="32" t="s">
        <v>19</v>
      </c>
      <c r="B14" s="33" t="s">
        <v>41</v>
      </c>
      <c r="C14" s="32">
        <v>1</v>
      </c>
      <c r="D14" s="32">
        <v>1</v>
      </c>
      <c r="E14" s="32">
        <v>1</v>
      </c>
      <c r="F14" s="32">
        <v>1</v>
      </c>
      <c r="G14" s="32">
        <v>1</v>
      </c>
      <c r="H14" s="32">
        <v>1</v>
      </c>
      <c r="I14" s="32">
        <v>1</v>
      </c>
      <c r="J14" s="32">
        <v>0</v>
      </c>
      <c r="K14" s="32">
        <v>0</v>
      </c>
      <c r="L14" s="32">
        <v>0</v>
      </c>
      <c r="M14" s="32">
        <v>0</v>
      </c>
      <c r="N14" s="32">
        <v>0</v>
      </c>
      <c r="O14" s="32">
        <v>0</v>
      </c>
      <c r="P14" s="32">
        <v>0</v>
      </c>
      <c r="Q14" s="32">
        <v>0</v>
      </c>
      <c r="R14" s="32">
        <v>0</v>
      </c>
      <c r="S14" s="32">
        <v>0</v>
      </c>
      <c r="T14" s="32">
        <v>0</v>
      </c>
      <c r="U14" s="32">
        <v>0</v>
      </c>
      <c r="V14" s="32">
        <v>0</v>
      </c>
      <c r="Y14" s="36" t="s">
        <v>80</v>
      </c>
      <c r="Z14" s="37">
        <f t="shared" si="0"/>
        <v>0</v>
      </c>
      <c r="AA14" s="38">
        <f t="shared" si="1"/>
        <v>0</v>
      </c>
    </row>
    <row r="15" spans="1:27" ht="27.6" x14ac:dyDescent="0.3">
      <c r="A15" s="44" t="s">
        <v>67</v>
      </c>
      <c r="B15" s="33" t="s">
        <v>40</v>
      </c>
      <c r="C15" s="32">
        <v>1</v>
      </c>
      <c r="D15" s="32">
        <v>1</v>
      </c>
      <c r="E15" s="32">
        <v>1</v>
      </c>
      <c r="F15" s="32">
        <v>1</v>
      </c>
      <c r="G15" s="32">
        <v>1</v>
      </c>
      <c r="H15" s="32">
        <v>1</v>
      </c>
      <c r="I15" s="32">
        <v>1</v>
      </c>
      <c r="J15" s="32">
        <v>1</v>
      </c>
      <c r="K15" s="32">
        <v>1</v>
      </c>
      <c r="L15" s="32">
        <v>1</v>
      </c>
      <c r="M15" s="32">
        <v>1</v>
      </c>
      <c r="N15" s="32">
        <v>1</v>
      </c>
      <c r="O15" s="32">
        <v>1</v>
      </c>
      <c r="P15" s="32">
        <v>1</v>
      </c>
      <c r="Q15" s="32">
        <v>1</v>
      </c>
      <c r="R15" s="32">
        <v>1</v>
      </c>
      <c r="S15" s="32">
        <v>1</v>
      </c>
      <c r="T15" s="32">
        <v>1</v>
      </c>
      <c r="U15" s="32">
        <v>1</v>
      </c>
      <c r="V15" s="32">
        <v>1</v>
      </c>
      <c r="Y15" s="36" t="s">
        <v>44</v>
      </c>
      <c r="Z15" s="37">
        <f t="shared" si="0"/>
        <v>1</v>
      </c>
      <c r="AA15" s="38">
        <f t="shared" si="1"/>
        <v>2.4390243902439025E-2</v>
      </c>
    </row>
    <row r="16" spans="1:27" x14ac:dyDescent="0.3">
      <c r="A16" s="44" t="s">
        <v>68</v>
      </c>
      <c r="B16" s="33" t="s">
        <v>40</v>
      </c>
      <c r="C16" s="32">
        <v>1</v>
      </c>
      <c r="D16" s="32">
        <v>1</v>
      </c>
      <c r="E16" s="32">
        <v>1</v>
      </c>
      <c r="F16" s="32">
        <v>1</v>
      </c>
      <c r="G16" s="32">
        <v>1</v>
      </c>
      <c r="H16" s="32">
        <v>1</v>
      </c>
      <c r="I16" s="32">
        <v>1</v>
      </c>
      <c r="J16" s="32">
        <v>1</v>
      </c>
      <c r="K16" s="32">
        <v>1</v>
      </c>
      <c r="L16" s="32">
        <v>1</v>
      </c>
      <c r="M16" s="32">
        <v>1</v>
      </c>
      <c r="N16" s="32">
        <v>1</v>
      </c>
      <c r="O16" s="32">
        <v>1</v>
      </c>
      <c r="P16" s="32">
        <v>1</v>
      </c>
      <c r="Q16" s="32">
        <v>1</v>
      </c>
      <c r="R16" s="32">
        <v>1</v>
      </c>
      <c r="S16" s="32">
        <v>1</v>
      </c>
      <c r="T16" s="32">
        <v>1</v>
      </c>
      <c r="U16" s="32">
        <v>1</v>
      </c>
      <c r="V16" s="32">
        <v>1</v>
      </c>
      <c r="Y16" s="36" t="s">
        <v>81</v>
      </c>
      <c r="Z16" s="37">
        <f t="shared" si="0"/>
        <v>0</v>
      </c>
      <c r="AA16" s="38">
        <f t="shared" si="1"/>
        <v>0</v>
      </c>
    </row>
    <row r="17" spans="1:27" x14ac:dyDescent="0.3">
      <c r="A17" s="44" t="s">
        <v>69</v>
      </c>
      <c r="B17" s="33" t="s">
        <v>40</v>
      </c>
      <c r="C17" s="32">
        <v>1</v>
      </c>
      <c r="D17" s="32">
        <v>1</v>
      </c>
      <c r="E17" s="32">
        <v>1</v>
      </c>
      <c r="F17" s="32">
        <v>1</v>
      </c>
      <c r="G17" s="32">
        <v>1</v>
      </c>
      <c r="H17" s="32">
        <v>1</v>
      </c>
      <c r="I17" s="32">
        <v>1</v>
      </c>
      <c r="J17" s="32">
        <v>1</v>
      </c>
      <c r="K17" s="32">
        <v>1</v>
      </c>
      <c r="L17" s="32">
        <v>1</v>
      </c>
      <c r="M17" s="32">
        <v>1</v>
      </c>
      <c r="N17" s="32">
        <v>1</v>
      </c>
      <c r="O17" s="32">
        <v>1</v>
      </c>
      <c r="P17" s="32">
        <v>1</v>
      </c>
      <c r="Q17" s="32">
        <v>1</v>
      </c>
      <c r="R17" s="32">
        <v>1</v>
      </c>
      <c r="S17" s="32">
        <v>1</v>
      </c>
      <c r="T17" s="32">
        <v>1</v>
      </c>
      <c r="U17" s="32">
        <v>1</v>
      </c>
      <c r="V17" s="32">
        <v>1</v>
      </c>
      <c r="Y17" s="36" t="s">
        <v>42</v>
      </c>
      <c r="Z17" s="37">
        <f t="shared" si="0"/>
        <v>4</v>
      </c>
      <c r="AA17" s="38">
        <f t="shared" si="1"/>
        <v>9.7560975609756101E-2</v>
      </c>
    </row>
    <row r="18" spans="1:27" ht="15" thickBot="1" x14ac:dyDescent="0.35">
      <c r="A18" s="44" t="s">
        <v>70</v>
      </c>
      <c r="B18" s="33" t="s">
        <v>40</v>
      </c>
      <c r="C18" s="32">
        <v>1</v>
      </c>
      <c r="D18" s="32">
        <v>1</v>
      </c>
      <c r="E18" s="32">
        <v>1</v>
      </c>
      <c r="F18" s="32">
        <v>1</v>
      </c>
      <c r="G18" s="32">
        <v>1</v>
      </c>
      <c r="H18" s="32">
        <v>1</v>
      </c>
      <c r="I18" s="32">
        <v>1</v>
      </c>
      <c r="J18" s="32">
        <v>1</v>
      </c>
      <c r="K18" s="32">
        <v>1</v>
      </c>
      <c r="L18" s="32">
        <v>1</v>
      </c>
      <c r="M18" s="32">
        <v>1</v>
      </c>
      <c r="N18" s="32">
        <v>1</v>
      </c>
      <c r="O18" s="32">
        <v>1</v>
      </c>
      <c r="P18" s="32">
        <v>1</v>
      </c>
      <c r="Q18" s="32">
        <v>1</v>
      </c>
      <c r="R18" s="32">
        <v>1</v>
      </c>
      <c r="S18" s="32">
        <v>1</v>
      </c>
      <c r="T18" s="32">
        <v>1</v>
      </c>
      <c r="U18" s="32">
        <v>1</v>
      </c>
      <c r="V18" s="32">
        <v>1</v>
      </c>
      <c r="Y18" s="42" t="s">
        <v>45</v>
      </c>
      <c r="Z18" s="37">
        <f t="shared" si="0"/>
        <v>3</v>
      </c>
      <c r="AA18" s="38">
        <f t="shared" si="1"/>
        <v>7.3170731707317069E-2</v>
      </c>
    </row>
    <row r="19" spans="1:27" x14ac:dyDescent="0.3">
      <c r="A19" s="32" t="s">
        <v>20</v>
      </c>
      <c r="B19" s="33" t="s">
        <v>41</v>
      </c>
      <c r="C19" s="32">
        <v>1</v>
      </c>
      <c r="D19" s="32">
        <v>1</v>
      </c>
      <c r="E19" s="32">
        <v>1</v>
      </c>
      <c r="F19" s="32">
        <v>1</v>
      </c>
      <c r="G19" s="32">
        <v>1</v>
      </c>
      <c r="H19" s="32">
        <v>1</v>
      </c>
      <c r="I19" s="32">
        <v>1</v>
      </c>
      <c r="J19" s="32">
        <v>1</v>
      </c>
      <c r="K19" s="32">
        <v>1</v>
      </c>
      <c r="L19" s="32">
        <v>1</v>
      </c>
      <c r="M19" s="32">
        <v>1</v>
      </c>
      <c r="N19" s="32">
        <v>1</v>
      </c>
      <c r="O19" s="32">
        <v>1</v>
      </c>
      <c r="P19" s="32">
        <v>1</v>
      </c>
      <c r="Q19" s="32">
        <v>1</v>
      </c>
      <c r="R19" s="32">
        <v>1</v>
      </c>
      <c r="S19" s="32">
        <v>1</v>
      </c>
      <c r="T19" s="32">
        <v>1</v>
      </c>
      <c r="U19" s="32">
        <v>1</v>
      </c>
      <c r="V19" s="32">
        <v>1</v>
      </c>
      <c r="AA19" s="2"/>
    </row>
    <row r="20" spans="1:27" x14ac:dyDescent="0.3">
      <c r="A20" s="32" t="s">
        <v>21</v>
      </c>
      <c r="B20" s="33" t="s">
        <v>41</v>
      </c>
      <c r="C20" s="32">
        <v>1</v>
      </c>
      <c r="D20" s="32">
        <v>1</v>
      </c>
      <c r="E20" s="32">
        <v>1</v>
      </c>
      <c r="F20" s="32">
        <v>1</v>
      </c>
      <c r="G20" s="32">
        <v>1</v>
      </c>
      <c r="H20" s="32">
        <v>0</v>
      </c>
      <c r="I20" s="32">
        <v>0</v>
      </c>
      <c r="J20" s="32">
        <v>0</v>
      </c>
      <c r="K20" s="32">
        <v>0</v>
      </c>
      <c r="L20" s="32">
        <v>0</v>
      </c>
      <c r="M20" s="32">
        <v>0</v>
      </c>
      <c r="N20" s="32">
        <v>0</v>
      </c>
      <c r="O20" s="32">
        <v>0</v>
      </c>
      <c r="P20" s="32">
        <v>0</v>
      </c>
      <c r="Q20" s="32">
        <v>0</v>
      </c>
      <c r="R20" s="32">
        <v>0</v>
      </c>
      <c r="S20" s="32">
        <v>0</v>
      </c>
      <c r="T20" s="32">
        <v>0</v>
      </c>
      <c r="U20" s="32">
        <v>0</v>
      </c>
      <c r="V20" s="32">
        <v>0</v>
      </c>
      <c r="Y20" s="43" t="s">
        <v>84</v>
      </c>
      <c r="Z20" s="37">
        <f>SUM(Z11:Z18)</f>
        <v>41</v>
      </c>
      <c r="AA20" s="18">
        <f>SUM(AA11:AA18)</f>
        <v>1</v>
      </c>
    </row>
    <row r="21" spans="1:27" x14ac:dyDescent="0.3">
      <c r="A21" s="32" t="s">
        <v>24</v>
      </c>
      <c r="B21" s="45" t="s">
        <v>42</v>
      </c>
      <c r="C21" s="32">
        <v>0</v>
      </c>
      <c r="D21" s="32">
        <v>0</v>
      </c>
      <c r="E21" s="32">
        <v>0</v>
      </c>
      <c r="F21" s="32">
        <v>0</v>
      </c>
      <c r="G21" s="32">
        <v>0</v>
      </c>
      <c r="H21" s="32">
        <v>0</v>
      </c>
      <c r="I21" s="32">
        <v>0</v>
      </c>
      <c r="J21" s="32">
        <v>0</v>
      </c>
      <c r="K21" s="32">
        <v>0</v>
      </c>
      <c r="L21" s="32">
        <v>0</v>
      </c>
      <c r="M21" s="32">
        <v>0</v>
      </c>
      <c r="N21" s="32">
        <v>0</v>
      </c>
      <c r="O21" s="32">
        <v>0</v>
      </c>
      <c r="P21" s="32">
        <v>0</v>
      </c>
      <c r="Q21" s="32">
        <v>0</v>
      </c>
      <c r="R21" s="32">
        <v>0</v>
      </c>
      <c r="S21" s="32">
        <v>0</v>
      </c>
      <c r="T21" s="32">
        <v>0</v>
      </c>
      <c r="U21" s="32">
        <v>0</v>
      </c>
      <c r="V21" s="32">
        <v>0</v>
      </c>
    </row>
    <row r="22" spans="1:27" x14ac:dyDescent="0.3">
      <c r="A22" s="32" t="s">
        <v>57</v>
      </c>
      <c r="B22" s="33" t="s">
        <v>41</v>
      </c>
      <c r="C22" s="32">
        <v>1</v>
      </c>
      <c r="D22" s="32">
        <v>1</v>
      </c>
      <c r="E22" s="32">
        <v>1</v>
      </c>
      <c r="F22" s="32">
        <v>1</v>
      </c>
      <c r="G22" s="32">
        <v>1</v>
      </c>
      <c r="H22" s="32">
        <v>0</v>
      </c>
      <c r="I22" s="32">
        <v>0</v>
      </c>
      <c r="J22" s="32">
        <v>0</v>
      </c>
      <c r="K22" s="32">
        <v>0</v>
      </c>
      <c r="L22" s="32">
        <v>0</v>
      </c>
      <c r="M22" s="32">
        <v>0</v>
      </c>
      <c r="N22" s="32">
        <v>0</v>
      </c>
      <c r="O22" s="32">
        <v>0</v>
      </c>
      <c r="P22" s="32">
        <v>0</v>
      </c>
      <c r="Q22" s="32">
        <v>0</v>
      </c>
      <c r="R22" s="32">
        <v>0</v>
      </c>
      <c r="S22" s="32">
        <v>0</v>
      </c>
      <c r="T22" s="32">
        <v>0</v>
      </c>
      <c r="U22" s="32">
        <v>0</v>
      </c>
      <c r="V22" s="32">
        <v>0</v>
      </c>
    </row>
    <row r="23" spans="1:27" x14ac:dyDescent="0.3">
      <c r="A23" s="32" t="s">
        <v>22</v>
      </c>
      <c r="B23" s="33" t="s">
        <v>41</v>
      </c>
      <c r="C23" s="32">
        <v>1</v>
      </c>
      <c r="D23" s="32">
        <v>1</v>
      </c>
      <c r="E23" s="32">
        <v>1</v>
      </c>
      <c r="F23" s="32">
        <v>1</v>
      </c>
      <c r="G23" s="32">
        <v>0</v>
      </c>
      <c r="H23" s="32">
        <v>0</v>
      </c>
      <c r="I23" s="32">
        <v>0</v>
      </c>
      <c r="J23" s="32">
        <v>0</v>
      </c>
      <c r="K23" s="32">
        <v>0</v>
      </c>
      <c r="L23" s="32">
        <v>0</v>
      </c>
      <c r="M23" s="32">
        <v>0</v>
      </c>
      <c r="N23" s="32">
        <v>0</v>
      </c>
      <c r="O23" s="32">
        <v>0</v>
      </c>
      <c r="P23" s="32">
        <v>0</v>
      </c>
      <c r="Q23" s="32">
        <v>0</v>
      </c>
      <c r="R23" s="32">
        <v>0</v>
      </c>
      <c r="S23" s="32">
        <v>0</v>
      </c>
      <c r="T23" s="32">
        <v>0</v>
      </c>
      <c r="U23" s="32">
        <v>0</v>
      </c>
      <c r="V23" s="32">
        <v>0</v>
      </c>
    </row>
    <row r="24" spans="1:27" x14ac:dyDescent="0.3">
      <c r="A24" s="32" t="s">
        <v>23</v>
      </c>
      <c r="B24" s="40" t="s">
        <v>43</v>
      </c>
      <c r="C24" s="32">
        <v>1</v>
      </c>
      <c r="D24" s="32">
        <v>1</v>
      </c>
      <c r="E24" s="32">
        <v>1</v>
      </c>
      <c r="F24" s="32">
        <v>1</v>
      </c>
      <c r="G24" s="32">
        <v>1</v>
      </c>
      <c r="H24" s="32">
        <v>1</v>
      </c>
      <c r="I24" s="32">
        <v>1</v>
      </c>
      <c r="J24" s="32">
        <v>1</v>
      </c>
      <c r="K24" s="32">
        <v>1</v>
      </c>
      <c r="L24" s="32">
        <v>1</v>
      </c>
      <c r="M24" s="32">
        <v>0</v>
      </c>
      <c r="N24" s="32">
        <v>0</v>
      </c>
      <c r="O24" s="32">
        <v>0</v>
      </c>
      <c r="P24" s="32">
        <v>0</v>
      </c>
      <c r="Q24" s="32">
        <v>0</v>
      </c>
      <c r="R24" s="32">
        <v>0</v>
      </c>
      <c r="S24" s="32">
        <v>0</v>
      </c>
      <c r="T24" s="32">
        <v>0</v>
      </c>
      <c r="U24" s="32">
        <v>0</v>
      </c>
      <c r="V24" s="32">
        <v>0</v>
      </c>
    </row>
    <row r="25" spans="1:27" x14ac:dyDescent="0.3">
      <c r="A25" s="32" t="s">
        <v>25</v>
      </c>
      <c r="B25" s="33" t="s">
        <v>44</v>
      </c>
      <c r="C25" s="32">
        <v>1</v>
      </c>
      <c r="D25" s="32">
        <v>1</v>
      </c>
      <c r="E25" s="32">
        <v>1</v>
      </c>
      <c r="F25" s="32">
        <v>1</v>
      </c>
      <c r="G25" s="32">
        <v>0</v>
      </c>
      <c r="H25" s="32">
        <v>0</v>
      </c>
      <c r="I25" s="32">
        <v>0</v>
      </c>
      <c r="J25" s="32">
        <v>0</v>
      </c>
      <c r="K25" s="32">
        <v>0</v>
      </c>
      <c r="L25" s="32">
        <v>0</v>
      </c>
      <c r="M25" s="32">
        <v>0</v>
      </c>
      <c r="N25" s="32">
        <v>0</v>
      </c>
      <c r="O25" s="32">
        <v>0</v>
      </c>
      <c r="P25" s="32">
        <v>0</v>
      </c>
      <c r="Q25" s="32">
        <v>0</v>
      </c>
      <c r="R25" s="32">
        <v>0</v>
      </c>
      <c r="S25" s="32">
        <v>0</v>
      </c>
      <c r="T25" s="32">
        <v>0</v>
      </c>
      <c r="U25" s="32">
        <v>0</v>
      </c>
      <c r="V25" s="32">
        <v>0</v>
      </c>
    </row>
    <row r="26" spans="1:27" x14ac:dyDescent="0.3">
      <c r="A26" s="32" t="s">
        <v>58</v>
      </c>
      <c r="B26" s="33" t="s">
        <v>41</v>
      </c>
      <c r="C26" s="32">
        <v>1</v>
      </c>
      <c r="D26" s="32">
        <v>0</v>
      </c>
      <c r="E26" s="32">
        <v>0</v>
      </c>
      <c r="F26" s="32">
        <v>0</v>
      </c>
      <c r="G26" s="32">
        <v>0</v>
      </c>
      <c r="H26" s="32">
        <v>0</v>
      </c>
      <c r="I26" s="32">
        <v>0</v>
      </c>
      <c r="J26" s="32">
        <v>0</v>
      </c>
      <c r="K26" s="32">
        <v>0</v>
      </c>
      <c r="L26" s="32">
        <v>0</v>
      </c>
      <c r="M26" s="32">
        <v>0</v>
      </c>
      <c r="N26" s="32">
        <v>0</v>
      </c>
      <c r="O26" s="32">
        <v>0</v>
      </c>
      <c r="P26" s="32">
        <v>0</v>
      </c>
      <c r="Q26" s="32">
        <v>0</v>
      </c>
      <c r="R26" s="32">
        <v>0</v>
      </c>
      <c r="S26" s="32">
        <v>0</v>
      </c>
      <c r="T26" s="32">
        <v>0</v>
      </c>
      <c r="U26" s="32">
        <v>0</v>
      </c>
      <c r="V26" s="32">
        <v>0</v>
      </c>
    </row>
    <row r="27" spans="1:27" x14ac:dyDescent="0.3">
      <c r="A27" s="32" t="s">
        <v>59</v>
      </c>
      <c r="B27" s="33" t="s">
        <v>41</v>
      </c>
      <c r="C27" s="32">
        <v>1</v>
      </c>
      <c r="D27" s="32">
        <v>1</v>
      </c>
      <c r="E27" s="32">
        <v>1</v>
      </c>
      <c r="F27" s="32">
        <v>0</v>
      </c>
      <c r="G27" s="32">
        <v>0</v>
      </c>
      <c r="H27" s="32">
        <v>0</v>
      </c>
      <c r="I27" s="32">
        <v>0</v>
      </c>
      <c r="J27" s="32">
        <v>0</v>
      </c>
      <c r="K27" s="32">
        <v>0</v>
      </c>
      <c r="L27" s="32">
        <v>0</v>
      </c>
      <c r="M27" s="32">
        <v>0</v>
      </c>
      <c r="N27" s="32">
        <v>0</v>
      </c>
      <c r="O27" s="32">
        <v>0</v>
      </c>
      <c r="P27" s="32">
        <v>0</v>
      </c>
      <c r="Q27" s="32">
        <v>0</v>
      </c>
      <c r="R27" s="32">
        <v>0</v>
      </c>
      <c r="S27" s="32">
        <v>0</v>
      </c>
      <c r="T27" s="32">
        <v>0</v>
      </c>
      <c r="U27" s="32">
        <v>0</v>
      </c>
      <c r="V27" s="32">
        <v>0</v>
      </c>
    </row>
    <row r="28" spans="1:27" x14ac:dyDescent="0.3">
      <c r="A28" s="32" t="s">
        <v>60</v>
      </c>
      <c r="B28" s="33" t="s">
        <v>41</v>
      </c>
      <c r="C28" s="32">
        <v>1</v>
      </c>
      <c r="D28" s="32">
        <v>1</v>
      </c>
      <c r="E28" s="32">
        <v>1</v>
      </c>
      <c r="F28" s="32">
        <v>1</v>
      </c>
      <c r="G28" s="32">
        <v>1</v>
      </c>
      <c r="H28" s="32">
        <v>1</v>
      </c>
      <c r="I28" s="32">
        <v>0</v>
      </c>
      <c r="J28" s="32">
        <v>0</v>
      </c>
      <c r="K28" s="32">
        <v>0</v>
      </c>
      <c r="L28" s="32">
        <v>0</v>
      </c>
      <c r="M28" s="32">
        <v>0</v>
      </c>
      <c r="N28" s="32">
        <v>0</v>
      </c>
      <c r="O28" s="32">
        <v>0</v>
      </c>
      <c r="P28" s="32">
        <v>0</v>
      </c>
      <c r="Q28" s="32">
        <v>0</v>
      </c>
      <c r="R28" s="32">
        <v>0</v>
      </c>
      <c r="S28" s="32">
        <v>0</v>
      </c>
      <c r="T28" s="32">
        <v>0</v>
      </c>
      <c r="U28" s="32">
        <v>0</v>
      </c>
      <c r="V28" s="32">
        <v>0</v>
      </c>
    </row>
    <row r="29" spans="1:27" x14ac:dyDescent="0.3">
      <c r="A29" s="32" t="s">
        <v>26</v>
      </c>
      <c r="B29" s="40" t="s">
        <v>45</v>
      </c>
      <c r="C29" s="32">
        <v>1</v>
      </c>
      <c r="D29" s="32">
        <v>1</v>
      </c>
      <c r="E29" s="32">
        <v>1</v>
      </c>
      <c r="F29" s="32">
        <v>1</v>
      </c>
      <c r="G29" s="32">
        <v>1</v>
      </c>
      <c r="H29" s="32">
        <v>1</v>
      </c>
      <c r="I29" s="32">
        <v>1</v>
      </c>
      <c r="J29" s="32">
        <v>1</v>
      </c>
      <c r="K29" s="32">
        <v>1</v>
      </c>
      <c r="L29" s="32">
        <v>1</v>
      </c>
      <c r="M29" s="32">
        <v>1</v>
      </c>
      <c r="N29" s="32">
        <v>1</v>
      </c>
      <c r="O29" s="32">
        <v>1</v>
      </c>
      <c r="P29" s="32">
        <v>1</v>
      </c>
      <c r="Q29" s="32">
        <v>1</v>
      </c>
      <c r="R29" s="32">
        <v>1</v>
      </c>
      <c r="S29" s="32">
        <v>1</v>
      </c>
      <c r="T29" s="32">
        <v>1</v>
      </c>
      <c r="U29" s="32">
        <v>1</v>
      </c>
      <c r="V29" s="32">
        <v>1</v>
      </c>
    </row>
    <row r="30" spans="1:27" x14ac:dyDescent="0.3">
      <c r="A30" s="32" t="s">
        <v>61</v>
      </c>
      <c r="B30" s="40" t="s">
        <v>42</v>
      </c>
      <c r="C30" s="32">
        <v>1</v>
      </c>
      <c r="D30" s="32">
        <v>1</v>
      </c>
      <c r="E30" s="32">
        <v>1</v>
      </c>
      <c r="F30" s="32">
        <v>1</v>
      </c>
      <c r="G30" s="32">
        <v>1</v>
      </c>
      <c r="H30" s="32">
        <v>1</v>
      </c>
      <c r="I30" s="32">
        <v>1</v>
      </c>
      <c r="J30" s="32">
        <v>1</v>
      </c>
      <c r="K30" s="32">
        <v>1</v>
      </c>
      <c r="L30" s="32">
        <v>1</v>
      </c>
      <c r="M30" s="32">
        <v>1</v>
      </c>
      <c r="N30" s="32">
        <v>1</v>
      </c>
      <c r="O30" s="32">
        <v>1</v>
      </c>
      <c r="P30" s="32">
        <v>1</v>
      </c>
      <c r="Q30" s="32">
        <v>1</v>
      </c>
      <c r="R30" s="32">
        <v>1</v>
      </c>
      <c r="S30" s="32">
        <v>1</v>
      </c>
      <c r="T30" s="32">
        <v>1</v>
      </c>
      <c r="U30" s="32">
        <v>1</v>
      </c>
      <c r="V30" s="32">
        <v>1</v>
      </c>
    </row>
    <row r="31" spans="1:27" x14ac:dyDescent="0.3">
      <c r="A31" s="32" t="s">
        <v>71</v>
      </c>
      <c r="B31" s="33" t="s">
        <v>40</v>
      </c>
      <c r="C31" s="32">
        <v>1</v>
      </c>
      <c r="D31" s="32">
        <v>1</v>
      </c>
      <c r="E31" s="32">
        <v>0</v>
      </c>
      <c r="F31" s="32">
        <v>0</v>
      </c>
      <c r="G31" s="32">
        <v>0</v>
      </c>
      <c r="H31" s="32">
        <v>0</v>
      </c>
      <c r="I31" s="32">
        <v>0</v>
      </c>
      <c r="J31" s="32">
        <v>0</v>
      </c>
      <c r="K31" s="32">
        <v>0</v>
      </c>
      <c r="L31" s="32">
        <v>0</v>
      </c>
      <c r="M31" s="32">
        <v>0</v>
      </c>
      <c r="N31" s="32">
        <v>0</v>
      </c>
      <c r="O31" s="32">
        <v>0</v>
      </c>
      <c r="P31" s="32">
        <v>0</v>
      </c>
      <c r="Q31" s="32">
        <v>0</v>
      </c>
      <c r="R31" s="32">
        <v>0</v>
      </c>
      <c r="S31" s="32">
        <v>0</v>
      </c>
      <c r="T31" s="32">
        <v>0</v>
      </c>
      <c r="U31" s="32">
        <v>0</v>
      </c>
      <c r="V31" s="32">
        <v>0</v>
      </c>
    </row>
    <row r="32" spans="1:27" x14ac:dyDescent="0.3">
      <c r="A32" s="32" t="s">
        <v>27</v>
      </c>
      <c r="B32" s="40" t="s">
        <v>45</v>
      </c>
      <c r="C32" s="32">
        <v>1</v>
      </c>
      <c r="D32" s="32">
        <v>0</v>
      </c>
      <c r="E32" s="32">
        <v>0</v>
      </c>
      <c r="F32" s="32">
        <v>0</v>
      </c>
      <c r="G32" s="32">
        <v>0</v>
      </c>
      <c r="H32" s="32">
        <v>0</v>
      </c>
      <c r="I32" s="32">
        <v>0</v>
      </c>
      <c r="J32" s="32">
        <v>0</v>
      </c>
      <c r="K32" s="32">
        <v>0</v>
      </c>
      <c r="L32" s="32">
        <v>0</v>
      </c>
      <c r="M32" s="32">
        <v>0</v>
      </c>
      <c r="N32" s="32">
        <v>0</v>
      </c>
      <c r="O32" s="32">
        <v>0</v>
      </c>
      <c r="P32" s="32">
        <v>0</v>
      </c>
      <c r="Q32" s="32">
        <v>0</v>
      </c>
      <c r="R32" s="32">
        <v>0</v>
      </c>
      <c r="S32" s="32">
        <v>0</v>
      </c>
      <c r="T32" s="32">
        <v>0</v>
      </c>
      <c r="U32" s="32">
        <v>0</v>
      </c>
      <c r="V32" s="32">
        <v>0</v>
      </c>
    </row>
    <row r="33" spans="1:22" x14ac:dyDescent="0.3">
      <c r="A33" s="32" t="s">
        <v>39</v>
      </c>
      <c r="B33" s="33" t="s">
        <v>41</v>
      </c>
      <c r="C33" s="32">
        <v>1</v>
      </c>
      <c r="D33" s="32">
        <v>1</v>
      </c>
      <c r="E33" s="32">
        <v>1</v>
      </c>
      <c r="F33" s="32">
        <v>1</v>
      </c>
      <c r="G33" s="32">
        <v>0</v>
      </c>
      <c r="H33" s="32">
        <v>0</v>
      </c>
      <c r="I33" s="32">
        <v>0</v>
      </c>
      <c r="J33" s="32">
        <v>0</v>
      </c>
      <c r="K33" s="32">
        <v>0</v>
      </c>
      <c r="L33" s="32">
        <v>0</v>
      </c>
      <c r="M33" s="32">
        <v>0</v>
      </c>
      <c r="N33" s="32">
        <v>0</v>
      </c>
      <c r="O33" s="32">
        <v>0</v>
      </c>
      <c r="P33" s="32">
        <v>0</v>
      </c>
      <c r="Q33" s="32">
        <v>0</v>
      </c>
      <c r="R33" s="32">
        <v>0</v>
      </c>
      <c r="S33" s="32">
        <v>0</v>
      </c>
      <c r="T33" s="32">
        <v>0</v>
      </c>
      <c r="U33" s="32">
        <v>0</v>
      </c>
      <c r="V33" s="32">
        <v>0</v>
      </c>
    </row>
    <row r="34" spans="1:22" x14ac:dyDescent="0.3">
      <c r="A34" s="32" t="s">
        <v>28</v>
      </c>
      <c r="B34" s="32"/>
      <c r="C34" s="32">
        <v>1</v>
      </c>
      <c r="D34" s="32">
        <v>0</v>
      </c>
      <c r="E34" s="32">
        <v>0</v>
      </c>
      <c r="F34" s="32">
        <v>0</v>
      </c>
      <c r="G34" s="32">
        <v>0</v>
      </c>
      <c r="H34" s="32">
        <v>0</v>
      </c>
      <c r="I34" s="32">
        <v>0</v>
      </c>
      <c r="J34" s="32">
        <v>0</v>
      </c>
      <c r="K34" s="32">
        <v>0</v>
      </c>
      <c r="L34" s="32">
        <v>0</v>
      </c>
      <c r="M34" s="32">
        <v>0</v>
      </c>
      <c r="N34" s="32">
        <v>0</v>
      </c>
      <c r="O34" s="32">
        <v>0</v>
      </c>
      <c r="P34" s="32">
        <v>0</v>
      </c>
      <c r="Q34" s="32">
        <v>0</v>
      </c>
      <c r="R34" s="32">
        <v>0</v>
      </c>
      <c r="S34" s="32">
        <v>0</v>
      </c>
      <c r="T34" s="32">
        <v>0</v>
      </c>
      <c r="U34" s="32">
        <v>0</v>
      </c>
      <c r="V34" s="32">
        <v>0</v>
      </c>
    </row>
    <row r="35" spans="1:22" x14ac:dyDescent="0.3">
      <c r="A35" s="32" t="s">
        <v>62</v>
      </c>
      <c r="B35" s="33" t="s">
        <v>41</v>
      </c>
      <c r="C35" s="32">
        <v>1</v>
      </c>
      <c r="D35" s="32">
        <v>1</v>
      </c>
      <c r="E35" s="32">
        <v>1</v>
      </c>
      <c r="F35" s="32">
        <v>1</v>
      </c>
      <c r="G35" s="32">
        <v>1</v>
      </c>
      <c r="H35" s="32">
        <v>0</v>
      </c>
      <c r="I35" s="32">
        <v>0</v>
      </c>
      <c r="J35" s="32">
        <v>0</v>
      </c>
      <c r="K35" s="32">
        <v>0</v>
      </c>
      <c r="L35" s="32">
        <v>0</v>
      </c>
      <c r="M35" s="32">
        <v>0</v>
      </c>
      <c r="N35" s="32">
        <v>0</v>
      </c>
      <c r="O35" s="32">
        <v>0</v>
      </c>
      <c r="P35" s="32">
        <v>0</v>
      </c>
      <c r="Q35" s="32">
        <v>0</v>
      </c>
      <c r="R35" s="32">
        <v>0</v>
      </c>
      <c r="S35" s="32">
        <v>0</v>
      </c>
      <c r="T35" s="32">
        <v>0</v>
      </c>
      <c r="U35" s="32">
        <v>0</v>
      </c>
      <c r="V35" s="32">
        <v>0</v>
      </c>
    </row>
    <row r="36" spans="1:22" x14ac:dyDescent="0.3">
      <c r="A36" s="32" t="s">
        <v>29</v>
      </c>
      <c r="B36" s="33" t="s">
        <v>41</v>
      </c>
      <c r="C36" s="32">
        <v>1</v>
      </c>
      <c r="D36" s="32">
        <v>1</v>
      </c>
      <c r="E36" s="32">
        <v>1</v>
      </c>
      <c r="F36" s="32">
        <v>0</v>
      </c>
      <c r="G36" s="32">
        <v>0</v>
      </c>
      <c r="H36" s="32">
        <v>0</v>
      </c>
      <c r="I36" s="32">
        <v>0</v>
      </c>
      <c r="J36" s="32">
        <v>0</v>
      </c>
      <c r="K36" s="32">
        <v>0</v>
      </c>
      <c r="L36" s="32">
        <v>0</v>
      </c>
      <c r="M36" s="32">
        <v>0</v>
      </c>
      <c r="N36" s="32">
        <v>0</v>
      </c>
      <c r="O36" s="32">
        <v>0</v>
      </c>
      <c r="P36" s="32">
        <v>0</v>
      </c>
      <c r="Q36" s="32">
        <v>0</v>
      </c>
      <c r="R36" s="32">
        <v>0</v>
      </c>
      <c r="S36" s="32">
        <v>0</v>
      </c>
      <c r="T36" s="32">
        <v>0</v>
      </c>
      <c r="U36" s="32">
        <v>0</v>
      </c>
      <c r="V36" s="32">
        <v>0</v>
      </c>
    </row>
    <row r="37" spans="1:22" x14ac:dyDescent="0.3">
      <c r="A37" s="32" t="s">
        <v>30</v>
      </c>
      <c r="B37" s="40" t="s">
        <v>43</v>
      </c>
      <c r="C37" s="32">
        <v>1</v>
      </c>
      <c r="D37" s="32">
        <v>1</v>
      </c>
      <c r="E37" s="32">
        <v>1</v>
      </c>
      <c r="F37" s="32">
        <v>1</v>
      </c>
      <c r="G37" s="32">
        <v>1</v>
      </c>
      <c r="H37" s="32">
        <v>1</v>
      </c>
      <c r="I37" s="32">
        <v>1</v>
      </c>
      <c r="J37" s="32">
        <v>1</v>
      </c>
      <c r="K37" s="32">
        <v>1</v>
      </c>
      <c r="L37" s="32">
        <v>1</v>
      </c>
      <c r="M37" s="32">
        <v>1</v>
      </c>
      <c r="N37" s="32">
        <v>1</v>
      </c>
      <c r="O37" s="32">
        <v>1</v>
      </c>
      <c r="P37" s="32">
        <v>1</v>
      </c>
      <c r="Q37" s="32">
        <v>1</v>
      </c>
      <c r="R37" s="32">
        <v>1</v>
      </c>
      <c r="S37" s="32">
        <v>1</v>
      </c>
      <c r="T37" s="32">
        <v>1</v>
      </c>
      <c r="U37" s="32">
        <v>1</v>
      </c>
      <c r="V37" s="32">
        <v>1</v>
      </c>
    </row>
    <row r="38" spans="1:22" x14ac:dyDescent="0.3">
      <c r="A38" s="32" t="s">
        <v>31</v>
      </c>
      <c r="B38" s="41" t="s">
        <v>48</v>
      </c>
      <c r="C38" s="32">
        <v>0</v>
      </c>
      <c r="D38" s="32">
        <v>0</v>
      </c>
      <c r="E38" s="32">
        <v>0</v>
      </c>
      <c r="F38" s="32">
        <v>0</v>
      </c>
      <c r="G38" s="32">
        <v>0</v>
      </c>
      <c r="H38" s="32">
        <v>0</v>
      </c>
      <c r="I38" s="32">
        <v>0</v>
      </c>
      <c r="J38" s="32">
        <v>0</v>
      </c>
      <c r="K38" s="32">
        <v>0</v>
      </c>
      <c r="L38" s="32">
        <v>0</v>
      </c>
      <c r="M38" s="32">
        <v>0</v>
      </c>
      <c r="N38" s="32">
        <v>0</v>
      </c>
      <c r="O38" s="32">
        <v>0</v>
      </c>
      <c r="P38" s="32">
        <v>0</v>
      </c>
      <c r="Q38" s="32">
        <v>0</v>
      </c>
      <c r="R38" s="32">
        <v>0</v>
      </c>
      <c r="S38" s="32">
        <v>0</v>
      </c>
      <c r="T38" s="32">
        <v>0</v>
      </c>
      <c r="U38" s="32">
        <v>0</v>
      </c>
      <c r="V38" s="32">
        <v>0</v>
      </c>
    </row>
    <row r="39" spans="1:22" x14ac:dyDescent="0.3">
      <c r="A39" s="32" t="s">
        <v>32</v>
      </c>
      <c r="B39" s="41" t="s">
        <v>48</v>
      </c>
      <c r="C39" s="32">
        <v>0</v>
      </c>
      <c r="D39" s="32">
        <v>0</v>
      </c>
      <c r="E39" s="32">
        <v>0</v>
      </c>
      <c r="F39" s="32">
        <v>0</v>
      </c>
      <c r="G39" s="32">
        <v>0</v>
      </c>
      <c r="H39" s="32">
        <v>0</v>
      </c>
      <c r="I39" s="32">
        <v>0</v>
      </c>
      <c r="J39" s="32">
        <v>0</v>
      </c>
      <c r="K39" s="32">
        <v>0</v>
      </c>
      <c r="L39" s="32">
        <v>0</v>
      </c>
      <c r="M39" s="32">
        <v>0</v>
      </c>
      <c r="N39" s="32">
        <v>0</v>
      </c>
      <c r="O39" s="32">
        <v>0</v>
      </c>
      <c r="P39" s="32">
        <v>0</v>
      </c>
      <c r="Q39" s="32">
        <v>0</v>
      </c>
      <c r="R39" s="32">
        <v>0</v>
      </c>
      <c r="S39" s="32">
        <v>0</v>
      </c>
      <c r="T39" s="32">
        <v>0</v>
      </c>
      <c r="U39" s="32">
        <v>0</v>
      </c>
      <c r="V39" s="32">
        <v>0</v>
      </c>
    </row>
    <row r="40" spans="1:22" x14ac:dyDescent="0.3">
      <c r="A40" s="32" t="s">
        <v>33</v>
      </c>
      <c r="B40" s="33" t="s">
        <v>41</v>
      </c>
      <c r="C40" s="32">
        <v>0</v>
      </c>
      <c r="D40" s="32">
        <v>0</v>
      </c>
      <c r="E40" s="32">
        <v>0</v>
      </c>
      <c r="F40" s="32">
        <v>0</v>
      </c>
      <c r="G40" s="32">
        <v>0</v>
      </c>
      <c r="H40" s="32">
        <v>0</v>
      </c>
      <c r="I40" s="32">
        <v>0</v>
      </c>
      <c r="J40" s="32">
        <v>0</v>
      </c>
      <c r="K40" s="32">
        <v>0</v>
      </c>
      <c r="L40" s="32">
        <v>0</v>
      </c>
      <c r="M40" s="32">
        <v>0</v>
      </c>
      <c r="N40" s="32">
        <v>0</v>
      </c>
      <c r="O40" s="32">
        <v>0</v>
      </c>
      <c r="P40" s="32">
        <v>0</v>
      </c>
      <c r="Q40" s="32">
        <v>0</v>
      </c>
      <c r="R40" s="32">
        <v>0</v>
      </c>
      <c r="S40" s="32">
        <v>0</v>
      </c>
      <c r="T40" s="32">
        <v>0</v>
      </c>
      <c r="U40" s="32">
        <v>0</v>
      </c>
      <c r="V40" s="32">
        <v>0</v>
      </c>
    </row>
    <row r="41" spans="1:22" x14ac:dyDescent="0.3">
      <c r="A41" s="32" t="s">
        <v>34</v>
      </c>
      <c r="B41" s="40" t="s">
        <v>45</v>
      </c>
      <c r="C41" s="32">
        <v>1</v>
      </c>
      <c r="D41" s="32">
        <v>1</v>
      </c>
      <c r="E41" s="32">
        <v>1</v>
      </c>
      <c r="F41" s="32">
        <v>1</v>
      </c>
      <c r="G41" s="32">
        <v>1</v>
      </c>
      <c r="H41" s="32">
        <v>0</v>
      </c>
      <c r="I41" s="32">
        <v>0</v>
      </c>
      <c r="J41" s="32">
        <v>0</v>
      </c>
      <c r="K41" s="32">
        <v>0</v>
      </c>
      <c r="L41" s="32">
        <v>0</v>
      </c>
      <c r="M41" s="32">
        <v>0</v>
      </c>
      <c r="N41" s="32">
        <v>0</v>
      </c>
      <c r="O41" s="32">
        <v>0</v>
      </c>
      <c r="P41" s="32">
        <v>0</v>
      </c>
      <c r="Q41" s="32">
        <v>0</v>
      </c>
      <c r="R41" s="32">
        <v>0</v>
      </c>
      <c r="S41" s="32">
        <v>0</v>
      </c>
      <c r="T41" s="32">
        <v>0</v>
      </c>
      <c r="U41" s="32">
        <v>0</v>
      </c>
      <c r="V41" s="32">
        <v>0</v>
      </c>
    </row>
    <row r="42" spans="1:22" x14ac:dyDescent="0.3">
      <c r="A42" s="32" t="s">
        <v>63</v>
      </c>
      <c r="B42" s="40" t="s">
        <v>43</v>
      </c>
      <c r="C42" s="32">
        <v>1</v>
      </c>
      <c r="D42" s="32">
        <v>1</v>
      </c>
      <c r="E42" s="32">
        <v>1</v>
      </c>
      <c r="F42" s="32">
        <v>1</v>
      </c>
      <c r="G42" s="32">
        <v>1</v>
      </c>
      <c r="H42" s="32">
        <v>1</v>
      </c>
      <c r="I42" s="32">
        <v>1</v>
      </c>
      <c r="J42" s="32">
        <v>1</v>
      </c>
      <c r="K42" s="32">
        <v>1</v>
      </c>
      <c r="L42" s="32">
        <v>1</v>
      </c>
      <c r="M42" s="32">
        <v>1</v>
      </c>
      <c r="N42" s="32">
        <v>1</v>
      </c>
      <c r="O42" s="32">
        <v>1</v>
      </c>
      <c r="P42" s="32">
        <v>1</v>
      </c>
      <c r="Q42" s="32">
        <v>1</v>
      </c>
      <c r="R42" s="32">
        <v>1</v>
      </c>
      <c r="S42" s="32">
        <v>1</v>
      </c>
      <c r="T42" s="32">
        <v>1</v>
      </c>
      <c r="U42" s="32">
        <v>1</v>
      </c>
      <c r="V42" s="32">
        <v>1</v>
      </c>
    </row>
    <row r="43" spans="1:22" x14ac:dyDescent="0.3">
      <c r="A43" s="32" t="s">
        <v>64</v>
      </c>
      <c r="B43" s="33" t="s">
        <v>46</v>
      </c>
      <c r="C43" s="32">
        <v>1</v>
      </c>
      <c r="D43" s="32">
        <v>1</v>
      </c>
      <c r="E43" s="32">
        <v>0</v>
      </c>
      <c r="F43" s="32">
        <v>0</v>
      </c>
      <c r="G43" s="32">
        <v>0</v>
      </c>
      <c r="H43" s="32">
        <v>0</v>
      </c>
      <c r="I43" s="32">
        <v>0</v>
      </c>
      <c r="J43" s="32">
        <v>0</v>
      </c>
      <c r="K43" s="32">
        <v>0</v>
      </c>
      <c r="L43" s="32">
        <v>0</v>
      </c>
      <c r="M43" s="32">
        <v>0</v>
      </c>
      <c r="N43" s="32">
        <v>0</v>
      </c>
      <c r="O43" s="32">
        <v>0</v>
      </c>
      <c r="P43" s="32">
        <v>0</v>
      </c>
      <c r="Q43" s="32">
        <v>0</v>
      </c>
      <c r="R43" s="32">
        <v>0</v>
      </c>
      <c r="S43" s="32">
        <v>0</v>
      </c>
      <c r="T43" s="32">
        <v>0</v>
      </c>
      <c r="U43" s="32">
        <v>0</v>
      </c>
      <c r="V43" s="32">
        <v>0</v>
      </c>
    </row>
    <row r="44" spans="1:22" x14ac:dyDescent="0.3">
      <c r="A44" s="32" t="s">
        <v>65</v>
      </c>
      <c r="B44" s="33" t="s">
        <v>41</v>
      </c>
      <c r="C44" s="32">
        <v>1</v>
      </c>
      <c r="D44" s="32">
        <v>1</v>
      </c>
      <c r="E44" s="32">
        <v>1</v>
      </c>
      <c r="F44" s="32">
        <v>1</v>
      </c>
      <c r="G44" s="32">
        <v>1</v>
      </c>
      <c r="H44" s="32">
        <v>1</v>
      </c>
      <c r="I44" s="32">
        <v>1</v>
      </c>
      <c r="J44" s="32">
        <v>0</v>
      </c>
      <c r="K44" s="32">
        <v>0</v>
      </c>
      <c r="L44" s="32">
        <v>0</v>
      </c>
      <c r="M44" s="32">
        <v>0</v>
      </c>
      <c r="N44" s="32">
        <v>0</v>
      </c>
      <c r="O44" s="32">
        <v>0</v>
      </c>
      <c r="P44" s="32">
        <v>0</v>
      </c>
      <c r="Q44" s="32">
        <v>0</v>
      </c>
      <c r="R44" s="32">
        <v>0</v>
      </c>
      <c r="S44" s="32">
        <v>0</v>
      </c>
      <c r="T44" s="32">
        <v>0</v>
      </c>
      <c r="U44" s="32">
        <v>0</v>
      </c>
      <c r="V44" s="32">
        <v>0</v>
      </c>
    </row>
    <row r="45" spans="1:22" x14ac:dyDescent="0.3">
      <c r="A45" s="32" t="s">
        <v>35</v>
      </c>
      <c r="B45" s="33" t="s">
        <v>40</v>
      </c>
      <c r="C45" s="32">
        <v>1</v>
      </c>
      <c r="D45" s="32">
        <v>1</v>
      </c>
      <c r="E45" s="32">
        <v>0</v>
      </c>
      <c r="F45" s="32">
        <v>0</v>
      </c>
      <c r="G45" s="32">
        <v>0</v>
      </c>
      <c r="H45" s="32">
        <v>0</v>
      </c>
      <c r="I45" s="32">
        <v>0</v>
      </c>
      <c r="J45" s="32">
        <v>0</v>
      </c>
      <c r="K45" s="32">
        <v>0</v>
      </c>
      <c r="L45" s="32">
        <v>0</v>
      </c>
      <c r="M45" s="32">
        <v>0</v>
      </c>
      <c r="N45" s="32">
        <v>0</v>
      </c>
      <c r="O45" s="32">
        <v>0</v>
      </c>
      <c r="P45" s="32">
        <v>0</v>
      </c>
      <c r="Q45" s="32">
        <v>0</v>
      </c>
      <c r="R45" s="32">
        <v>0</v>
      </c>
      <c r="S45" s="32">
        <v>0</v>
      </c>
      <c r="T45" s="32">
        <v>0</v>
      </c>
      <c r="U45" s="32">
        <v>0</v>
      </c>
      <c r="V45" s="32">
        <v>0</v>
      </c>
    </row>
    <row r="46" spans="1:22" x14ac:dyDescent="0.3">
      <c r="A46" s="32" t="s">
        <v>36</v>
      </c>
      <c r="B46" s="33" t="s">
        <v>40</v>
      </c>
      <c r="C46" s="32">
        <v>1</v>
      </c>
      <c r="D46" s="32">
        <v>1</v>
      </c>
      <c r="E46" s="32">
        <v>0</v>
      </c>
      <c r="F46" s="32">
        <v>0</v>
      </c>
      <c r="G46" s="32">
        <v>0</v>
      </c>
      <c r="H46" s="32">
        <v>0</v>
      </c>
      <c r="I46" s="32">
        <v>0</v>
      </c>
      <c r="J46" s="32">
        <v>0</v>
      </c>
      <c r="K46" s="32">
        <v>0</v>
      </c>
      <c r="L46" s="32">
        <v>0</v>
      </c>
      <c r="M46" s="32">
        <v>0</v>
      </c>
      <c r="N46" s="32">
        <v>0</v>
      </c>
      <c r="O46" s="32">
        <v>0</v>
      </c>
      <c r="P46" s="32">
        <v>0</v>
      </c>
      <c r="Q46" s="32">
        <v>0</v>
      </c>
      <c r="R46" s="32">
        <v>0</v>
      </c>
      <c r="S46" s="32">
        <v>0</v>
      </c>
      <c r="T46" s="32">
        <v>0</v>
      </c>
      <c r="U46" s="32">
        <v>0</v>
      </c>
      <c r="V46" s="32">
        <v>0</v>
      </c>
    </row>
    <row r="47" spans="1:22" x14ac:dyDescent="0.3">
      <c r="A47" s="32" t="s">
        <v>37</v>
      </c>
      <c r="B47" s="33" t="s">
        <v>40</v>
      </c>
      <c r="C47" s="32">
        <v>1</v>
      </c>
      <c r="D47" s="32">
        <v>1</v>
      </c>
      <c r="E47" s="32">
        <v>0</v>
      </c>
      <c r="F47" s="32">
        <v>0</v>
      </c>
      <c r="G47" s="32">
        <v>0</v>
      </c>
      <c r="H47" s="32">
        <v>0</v>
      </c>
      <c r="I47" s="32">
        <v>0</v>
      </c>
      <c r="J47" s="32">
        <v>0</v>
      </c>
      <c r="K47" s="32">
        <v>0</v>
      </c>
      <c r="L47" s="32">
        <v>0</v>
      </c>
      <c r="M47" s="32">
        <v>0</v>
      </c>
      <c r="N47" s="32">
        <v>0</v>
      </c>
      <c r="O47" s="32">
        <v>0</v>
      </c>
      <c r="P47" s="32">
        <v>0</v>
      </c>
      <c r="Q47" s="32">
        <v>0</v>
      </c>
      <c r="R47" s="32">
        <v>0</v>
      </c>
      <c r="S47" s="32">
        <v>0</v>
      </c>
      <c r="T47" s="32">
        <v>0</v>
      </c>
      <c r="U47" s="32">
        <v>0</v>
      </c>
      <c r="V47" s="32">
        <v>0</v>
      </c>
    </row>
    <row r="48" spans="1:22" x14ac:dyDescent="0.3">
      <c r="A48" s="32" t="s">
        <v>38</v>
      </c>
      <c r="B48" s="33" t="s">
        <v>41</v>
      </c>
      <c r="C48" s="32">
        <v>1</v>
      </c>
      <c r="D48" s="32">
        <v>0</v>
      </c>
      <c r="E48" s="32">
        <v>0</v>
      </c>
      <c r="F48" s="32">
        <v>0</v>
      </c>
      <c r="G48" s="32">
        <v>0</v>
      </c>
      <c r="H48" s="32">
        <v>0</v>
      </c>
      <c r="I48" s="32">
        <v>0</v>
      </c>
      <c r="J48" s="32">
        <v>0</v>
      </c>
      <c r="K48" s="32">
        <v>0</v>
      </c>
      <c r="L48" s="32">
        <v>0</v>
      </c>
      <c r="M48" s="32">
        <v>0</v>
      </c>
      <c r="N48" s="32">
        <v>0</v>
      </c>
      <c r="O48" s="32">
        <v>0</v>
      </c>
      <c r="P48" s="32">
        <v>0</v>
      </c>
      <c r="Q48" s="32">
        <v>0</v>
      </c>
      <c r="R48" s="32">
        <v>0</v>
      </c>
      <c r="S48" s="32">
        <v>0</v>
      </c>
      <c r="T48" s="32">
        <v>0</v>
      </c>
      <c r="U48" s="32">
        <v>0</v>
      </c>
      <c r="V48" s="32">
        <v>0</v>
      </c>
    </row>
    <row r="49" spans="1:2" x14ac:dyDescent="0.3">
      <c r="A49" s="89"/>
      <c r="B49" s="89"/>
    </row>
    <row r="50" spans="1:2" x14ac:dyDescent="0.3">
      <c r="A50" s="90" t="s">
        <v>131</v>
      </c>
      <c r="B50" s="89"/>
    </row>
  </sheetData>
  <autoFilter ref="A1:V48" xr:uid="{3A8DBBC3-2F6E-4F74-9731-6A90B0FA0F89}">
    <sortState xmlns:xlrd2="http://schemas.microsoft.com/office/spreadsheetml/2017/richdata2" ref="A2:V48">
      <sortCondition ref="A1:A48"/>
    </sortState>
  </autoFilter>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460529-8F5E-41C4-887E-3BCA723618E8}">
  <sheetPr codeName="Sheet19">
    <tabColor rgb="FF92D050"/>
  </sheetPr>
  <dimension ref="A1:V50"/>
  <sheetViews>
    <sheetView zoomScaleNormal="100" workbookViewId="0">
      <selection activeCell="D24" sqref="D24"/>
    </sheetView>
  </sheetViews>
  <sheetFormatPr defaultRowHeight="14.4" x14ac:dyDescent="0.3"/>
  <cols>
    <col min="1" max="1" width="12.6640625" style="35" customWidth="1"/>
    <col min="2" max="2" width="51.88671875" style="35" bestFit="1" customWidth="1"/>
    <col min="3" max="4" width="51.88671875" style="55" bestFit="1" customWidth="1"/>
    <col min="5" max="6" width="49.88671875" style="55" bestFit="1" customWidth="1"/>
    <col min="7" max="22" width="40" style="55" bestFit="1" customWidth="1"/>
    <col min="23" max="16384" width="8.88671875" style="35"/>
  </cols>
  <sheetData>
    <row r="1" spans="1:22" s="11" customFormat="1" ht="13.8" x14ac:dyDescent="0.25">
      <c r="A1" s="30" t="s">
        <v>16</v>
      </c>
      <c r="B1" s="30" t="s">
        <v>128</v>
      </c>
      <c r="C1" s="87">
        <v>2021</v>
      </c>
      <c r="D1" s="31">
        <v>2022</v>
      </c>
      <c r="E1" s="87">
        <v>2023</v>
      </c>
      <c r="F1" s="31">
        <v>2024</v>
      </c>
      <c r="G1" s="87">
        <v>2025</v>
      </c>
      <c r="H1" s="31">
        <v>2026</v>
      </c>
      <c r="I1" s="87">
        <v>2027</v>
      </c>
      <c r="J1" s="31">
        <v>2028</v>
      </c>
      <c r="K1" s="87">
        <v>2029</v>
      </c>
      <c r="L1" s="31">
        <v>2030</v>
      </c>
      <c r="M1" s="87">
        <v>2031</v>
      </c>
      <c r="N1" s="31">
        <v>2032</v>
      </c>
      <c r="O1" s="87">
        <v>2033</v>
      </c>
      <c r="P1" s="31">
        <v>2034</v>
      </c>
      <c r="Q1" s="87">
        <v>2035</v>
      </c>
      <c r="R1" s="31">
        <v>2036</v>
      </c>
      <c r="S1" s="87">
        <v>2037</v>
      </c>
      <c r="T1" s="31">
        <v>2038</v>
      </c>
      <c r="U1" s="87">
        <v>2039</v>
      </c>
      <c r="V1" s="31">
        <v>2040</v>
      </c>
    </row>
    <row r="2" spans="1:22" x14ac:dyDescent="0.3">
      <c r="A2" s="32" t="s">
        <v>47</v>
      </c>
      <c r="B2" s="33" t="s">
        <v>41</v>
      </c>
      <c r="C2" s="88" t="str">
        <f>IF(DTE_Lifespans_existing!C2=1,Use_case_lifespans!$B2,0)</f>
        <v>Near Earth Robotic - LEO Science</v>
      </c>
      <c r="D2" s="88" t="str">
        <f>IF(DTE_Lifespans_existing!D2=1,Use_case_lifespans!$B2,0)</f>
        <v>Near Earth Robotic - LEO Science</v>
      </c>
      <c r="E2" s="88">
        <f>IF(DTE_Lifespans_existing!E2=1,Use_case_lifespans!$B2,0)</f>
        <v>0</v>
      </c>
      <c r="F2" s="88">
        <f>IF(DTE_Lifespans_existing!F2=1,Use_case_lifespans!$B2,0)</f>
        <v>0</v>
      </c>
      <c r="G2" s="88">
        <f>IF(DTE_Lifespans_existing!G2=1,Use_case_lifespans!$B2,0)</f>
        <v>0</v>
      </c>
      <c r="H2" s="88">
        <f>IF(DTE_Lifespans_existing!H2=1,Use_case_lifespans!$B2,0)</f>
        <v>0</v>
      </c>
      <c r="I2" s="88">
        <f>IF(DTE_Lifespans_existing!I2=1,Use_case_lifespans!$B2,0)</f>
        <v>0</v>
      </c>
      <c r="J2" s="88">
        <f>IF(DTE_Lifespans_existing!J2=1,Use_case_lifespans!$B2,0)</f>
        <v>0</v>
      </c>
      <c r="K2" s="88">
        <f>IF(DTE_Lifespans_existing!K2=1,Use_case_lifespans!$B2,0)</f>
        <v>0</v>
      </c>
      <c r="L2" s="88">
        <f>IF(DTE_Lifespans_existing!L2=1,Use_case_lifespans!$B2,0)</f>
        <v>0</v>
      </c>
      <c r="M2" s="88">
        <f>IF(DTE_Lifespans_existing!M2=1,Use_case_lifespans!$B2,0)</f>
        <v>0</v>
      </c>
      <c r="N2" s="88">
        <f>IF(DTE_Lifespans_existing!N2=1,Use_case_lifespans!$B2,0)</f>
        <v>0</v>
      </c>
      <c r="O2" s="88">
        <f>IF(DTE_Lifespans_existing!O2=1,Use_case_lifespans!$B2,0)</f>
        <v>0</v>
      </c>
      <c r="P2" s="88">
        <f>IF(DTE_Lifespans_existing!P2=1,Use_case_lifespans!$B2,0)</f>
        <v>0</v>
      </c>
      <c r="Q2" s="88">
        <f>IF(DTE_Lifespans_existing!Q2=1,Use_case_lifespans!$B2,0)</f>
        <v>0</v>
      </c>
      <c r="R2" s="88">
        <f>IF(DTE_Lifespans_existing!R2=1,Use_case_lifespans!$B2,0)</f>
        <v>0</v>
      </c>
      <c r="S2" s="88">
        <f>IF(DTE_Lifespans_existing!S2=1,Use_case_lifespans!$B2,0)</f>
        <v>0</v>
      </c>
      <c r="T2" s="88">
        <f>IF(DTE_Lifespans_existing!T2=1,Use_case_lifespans!$B2,0)</f>
        <v>0</v>
      </c>
      <c r="U2" s="88">
        <f>IF(DTE_Lifespans_existing!U2=1,Use_case_lifespans!$B2,0)</f>
        <v>0</v>
      </c>
      <c r="V2" s="88">
        <f>IF(DTE_Lifespans_existing!V2=1,Use_case_lifespans!$B2,0)</f>
        <v>0</v>
      </c>
    </row>
    <row r="3" spans="1:22" x14ac:dyDescent="0.3">
      <c r="A3" s="32" t="s">
        <v>17</v>
      </c>
      <c r="B3" s="33" t="s">
        <v>41</v>
      </c>
      <c r="C3" s="88" t="str">
        <f>IF(DTE_Lifespans_existing!C3=1,Use_case_lifespans!$B3,0)</f>
        <v>Near Earth Robotic - LEO Science</v>
      </c>
      <c r="D3" s="88" t="str">
        <f>IF(DTE_Lifespans_existing!D3=1,Use_case_lifespans!$B3,0)</f>
        <v>Near Earth Robotic - LEO Science</v>
      </c>
      <c r="E3" s="88" t="str">
        <f>IF(DTE_Lifespans_existing!E3=1,Use_case_lifespans!$B3,0)</f>
        <v>Near Earth Robotic - LEO Science</v>
      </c>
      <c r="F3" s="88" t="str">
        <f>IF(DTE_Lifespans_existing!F3=1,Use_case_lifespans!$B3,0)</f>
        <v>Near Earth Robotic - LEO Science</v>
      </c>
      <c r="G3" s="88">
        <f>IF(DTE_Lifespans_existing!G3=1,Use_case_lifespans!$B3,0)</f>
        <v>0</v>
      </c>
      <c r="H3" s="88">
        <f>IF(DTE_Lifespans_existing!H3=1,Use_case_lifespans!$B3,0)</f>
        <v>0</v>
      </c>
      <c r="I3" s="88">
        <f>IF(DTE_Lifespans_existing!I3=1,Use_case_lifespans!$B3,0)</f>
        <v>0</v>
      </c>
      <c r="J3" s="88">
        <f>IF(DTE_Lifespans_existing!J3=1,Use_case_lifespans!$B3,0)</f>
        <v>0</v>
      </c>
      <c r="K3" s="88">
        <f>IF(DTE_Lifespans_existing!K3=1,Use_case_lifespans!$B3,0)</f>
        <v>0</v>
      </c>
      <c r="L3" s="88">
        <f>IF(DTE_Lifespans_existing!L3=1,Use_case_lifespans!$B3,0)</f>
        <v>0</v>
      </c>
      <c r="M3" s="88">
        <f>IF(DTE_Lifespans_existing!M3=1,Use_case_lifespans!$B3,0)</f>
        <v>0</v>
      </c>
      <c r="N3" s="88">
        <f>IF(DTE_Lifespans_existing!N3=1,Use_case_lifespans!$B3,0)</f>
        <v>0</v>
      </c>
      <c r="O3" s="88">
        <f>IF(DTE_Lifespans_existing!O3=1,Use_case_lifespans!$B3,0)</f>
        <v>0</v>
      </c>
      <c r="P3" s="88">
        <f>IF(DTE_Lifespans_existing!P3=1,Use_case_lifespans!$B3,0)</f>
        <v>0</v>
      </c>
      <c r="Q3" s="88">
        <f>IF(DTE_Lifespans_existing!Q3=1,Use_case_lifespans!$B3,0)</f>
        <v>0</v>
      </c>
      <c r="R3" s="88">
        <f>IF(DTE_Lifespans_existing!R3=1,Use_case_lifespans!$B3,0)</f>
        <v>0</v>
      </c>
      <c r="S3" s="88">
        <f>IF(DTE_Lifespans_existing!S3=1,Use_case_lifespans!$B3,0)</f>
        <v>0</v>
      </c>
      <c r="T3" s="88">
        <f>IF(DTE_Lifespans_existing!T3=1,Use_case_lifespans!$B3,0)</f>
        <v>0</v>
      </c>
      <c r="U3" s="88">
        <f>IF(DTE_Lifespans_existing!U3=1,Use_case_lifespans!$B3,0)</f>
        <v>0</v>
      </c>
      <c r="V3" s="88">
        <f>IF(DTE_Lifespans_existing!V3=1,Use_case_lifespans!$B3,0)</f>
        <v>0</v>
      </c>
    </row>
    <row r="4" spans="1:22" x14ac:dyDescent="0.3">
      <c r="A4" s="32" t="s">
        <v>49</v>
      </c>
      <c r="B4" s="33" t="s">
        <v>41</v>
      </c>
      <c r="C4" s="88" t="str">
        <f>IF(DTE_Lifespans_existing!C4=1,Use_case_lifespans!$B4,0)</f>
        <v>Near Earth Robotic - LEO Science</v>
      </c>
      <c r="D4" s="88" t="str">
        <f>IF(DTE_Lifespans_existing!D4=1,Use_case_lifespans!$B4,0)</f>
        <v>Near Earth Robotic - LEO Science</v>
      </c>
      <c r="E4" s="88" t="str">
        <f>IF(DTE_Lifespans_existing!E4=1,Use_case_lifespans!$B4,0)</f>
        <v>Near Earth Robotic - LEO Science</v>
      </c>
      <c r="F4" s="88" t="str">
        <f>IF(DTE_Lifespans_existing!F4=1,Use_case_lifespans!$B4,0)</f>
        <v>Near Earth Robotic - LEO Science</v>
      </c>
      <c r="G4" s="88" t="str">
        <f>IF(DTE_Lifespans_existing!G4=1,Use_case_lifespans!$B4,0)</f>
        <v>Near Earth Robotic - LEO Science</v>
      </c>
      <c r="H4" s="88" t="str">
        <f>IF(DTE_Lifespans_existing!H4=1,Use_case_lifespans!$B4,0)</f>
        <v>Near Earth Robotic - LEO Science</v>
      </c>
      <c r="I4" s="88">
        <f>IF(DTE_Lifespans_existing!I4=1,Use_case_lifespans!$B4,0)</f>
        <v>0</v>
      </c>
      <c r="J4" s="88">
        <f>IF(DTE_Lifespans_existing!J4=1,Use_case_lifespans!$B4,0)</f>
        <v>0</v>
      </c>
      <c r="K4" s="88">
        <f>IF(DTE_Lifespans_existing!K4=1,Use_case_lifespans!$B4,0)</f>
        <v>0</v>
      </c>
      <c r="L4" s="88">
        <f>IF(DTE_Lifespans_existing!L4=1,Use_case_lifespans!$B4,0)</f>
        <v>0</v>
      </c>
      <c r="M4" s="88">
        <f>IF(DTE_Lifespans_existing!M4=1,Use_case_lifespans!$B4,0)</f>
        <v>0</v>
      </c>
      <c r="N4" s="88">
        <f>IF(DTE_Lifespans_existing!N4=1,Use_case_lifespans!$B4,0)</f>
        <v>0</v>
      </c>
      <c r="O4" s="88">
        <f>IF(DTE_Lifespans_existing!O4=1,Use_case_lifespans!$B4,0)</f>
        <v>0</v>
      </c>
      <c r="P4" s="88">
        <f>IF(DTE_Lifespans_existing!P4=1,Use_case_lifespans!$B4,0)</f>
        <v>0</v>
      </c>
      <c r="Q4" s="88">
        <f>IF(DTE_Lifespans_existing!Q4=1,Use_case_lifespans!$B4,0)</f>
        <v>0</v>
      </c>
      <c r="R4" s="88">
        <f>IF(DTE_Lifespans_existing!R4=1,Use_case_lifespans!$B4,0)</f>
        <v>0</v>
      </c>
      <c r="S4" s="88">
        <f>IF(DTE_Lifespans_existing!S4=1,Use_case_lifespans!$B4,0)</f>
        <v>0</v>
      </c>
      <c r="T4" s="88">
        <f>IF(DTE_Lifespans_existing!T4=1,Use_case_lifespans!$B4,0)</f>
        <v>0</v>
      </c>
      <c r="U4" s="88">
        <f>IF(DTE_Lifespans_existing!U4=1,Use_case_lifespans!$B4,0)</f>
        <v>0</v>
      </c>
      <c r="V4" s="88">
        <f>IF(DTE_Lifespans_existing!V4=1,Use_case_lifespans!$B4,0)</f>
        <v>0</v>
      </c>
    </row>
    <row r="5" spans="1:22" x14ac:dyDescent="0.3">
      <c r="A5" s="32" t="s">
        <v>50</v>
      </c>
      <c r="B5" s="39" t="s">
        <v>43</v>
      </c>
      <c r="C5" s="88" t="str">
        <f>IF(DTE_Lifespans_existing!C5=1,Use_case_lifespans!$B5,0)</f>
        <v>Human Space Flight</v>
      </c>
      <c r="D5" s="88" t="str">
        <f>IF(DTE_Lifespans_existing!D5=1,Use_case_lifespans!$B5,0)</f>
        <v>Human Space Flight</v>
      </c>
      <c r="E5" s="88" t="str">
        <f>IF(DTE_Lifespans_existing!E5=1,Use_case_lifespans!$B5,0)</f>
        <v>Human Space Flight</v>
      </c>
      <c r="F5" s="88" t="str">
        <f>IF(DTE_Lifespans_existing!F5=1,Use_case_lifespans!$B5,0)</f>
        <v>Human Space Flight</v>
      </c>
      <c r="G5" s="88" t="str">
        <f>IF(DTE_Lifespans_existing!G5=1,Use_case_lifespans!$B5,0)</f>
        <v>Human Space Flight</v>
      </c>
      <c r="H5" s="88" t="str">
        <f>IF(DTE_Lifespans_existing!H5=1,Use_case_lifespans!$B5,0)</f>
        <v>Human Space Flight</v>
      </c>
      <c r="I5" s="88" t="str">
        <f>IF(DTE_Lifespans_existing!I5=1,Use_case_lifespans!$B5,0)</f>
        <v>Human Space Flight</v>
      </c>
      <c r="J5" s="88" t="str">
        <f>IF(DTE_Lifespans_existing!J5=1,Use_case_lifespans!$B5,0)</f>
        <v>Human Space Flight</v>
      </c>
      <c r="K5" s="88" t="str">
        <f>IF(DTE_Lifespans_existing!K5=1,Use_case_lifespans!$B5,0)</f>
        <v>Human Space Flight</v>
      </c>
      <c r="L5" s="88" t="str">
        <f>IF(DTE_Lifespans_existing!L5=1,Use_case_lifespans!$B5,0)</f>
        <v>Human Space Flight</v>
      </c>
      <c r="M5" s="88" t="str">
        <f>IF(DTE_Lifespans_existing!M5=1,Use_case_lifespans!$B5,0)</f>
        <v>Human Space Flight</v>
      </c>
      <c r="N5" s="88" t="str">
        <f>IF(DTE_Lifespans_existing!N5=1,Use_case_lifespans!$B5,0)</f>
        <v>Human Space Flight</v>
      </c>
      <c r="O5" s="88" t="str">
        <f>IF(DTE_Lifespans_existing!O5=1,Use_case_lifespans!$B5,0)</f>
        <v>Human Space Flight</v>
      </c>
      <c r="P5" s="88" t="str">
        <f>IF(DTE_Lifespans_existing!P5=1,Use_case_lifespans!$B5,0)</f>
        <v>Human Space Flight</v>
      </c>
      <c r="Q5" s="88" t="str">
        <f>IF(DTE_Lifespans_existing!Q5=1,Use_case_lifespans!$B5,0)</f>
        <v>Human Space Flight</v>
      </c>
      <c r="R5" s="88" t="str">
        <f>IF(DTE_Lifespans_existing!R5=1,Use_case_lifespans!$B5,0)</f>
        <v>Human Space Flight</v>
      </c>
      <c r="S5" s="88" t="str">
        <f>IF(DTE_Lifespans_existing!S5=1,Use_case_lifespans!$B5,0)</f>
        <v>Human Space Flight</v>
      </c>
      <c r="T5" s="88" t="str">
        <f>IF(DTE_Lifespans_existing!T5=1,Use_case_lifespans!$B5,0)</f>
        <v>Human Space Flight</v>
      </c>
      <c r="U5" s="88" t="str">
        <f>IF(DTE_Lifespans_existing!U5=1,Use_case_lifespans!$B5,0)</f>
        <v>Human Space Flight</v>
      </c>
      <c r="V5" s="88" t="str">
        <f>IF(DTE_Lifespans_existing!V5=1,Use_case_lifespans!$B5,0)</f>
        <v>Human Space Flight</v>
      </c>
    </row>
    <row r="6" spans="1:22" x14ac:dyDescent="0.3">
      <c r="A6" s="32" t="s">
        <v>51</v>
      </c>
      <c r="B6" s="40" t="s">
        <v>42</v>
      </c>
      <c r="C6" s="88" t="str">
        <f>IF(DTE_Lifespans_existing!C6=1,Use_case_lifespans!$B6,0)</f>
        <v>Launch Events</v>
      </c>
      <c r="D6" s="88" t="str">
        <f>IF(DTE_Lifespans_existing!D6=1,Use_case_lifespans!$B6,0)</f>
        <v>Launch Events</v>
      </c>
      <c r="E6" s="88" t="str">
        <f>IF(DTE_Lifespans_existing!E6=1,Use_case_lifespans!$B6,0)</f>
        <v>Launch Events</v>
      </c>
      <c r="F6" s="88" t="str">
        <f>IF(DTE_Lifespans_existing!F6=1,Use_case_lifespans!$B6,0)</f>
        <v>Launch Events</v>
      </c>
      <c r="G6" s="88">
        <f>IF(DTE_Lifespans_existing!G6=1,Use_case_lifespans!$B6,0)</f>
        <v>0</v>
      </c>
      <c r="H6" s="88">
        <f>IF(DTE_Lifespans_existing!H6=1,Use_case_lifespans!$B6,0)</f>
        <v>0</v>
      </c>
      <c r="I6" s="88">
        <f>IF(DTE_Lifespans_existing!I6=1,Use_case_lifespans!$B6,0)</f>
        <v>0</v>
      </c>
      <c r="J6" s="88">
        <f>IF(DTE_Lifespans_existing!J6=1,Use_case_lifespans!$B6,0)</f>
        <v>0</v>
      </c>
      <c r="K6" s="88">
        <f>IF(DTE_Lifespans_existing!K6=1,Use_case_lifespans!$B6,0)</f>
        <v>0</v>
      </c>
      <c r="L6" s="88">
        <f>IF(DTE_Lifespans_existing!L6=1,Use_case_lifespans!$B6,0)</f>
        <v>0</v>
      </c>
      <c r="M6" s="88">
        <f>IF(DTE_Lifespans_existing!M6=1,Use_case_lifespans!$B6,0)</f>
        <v>0</v>
      </c>
      <c r="N6" s="88">
        <f>IF(DTE_Lifespans_existing!N6=1,Use_case_lifespans!$B6,0)</f>
        <v>0</v>
      </c>
      <c r="O6" s="88">
        <f>IF(DTE_Lifespans_existing!O6=1,Use_case_lifespans!$B6,0)</f>
        <v>0</v>
      </c>
      <c r="P6" s="88">
        <f>IF(DTE_Lifespans_existing!P6=1,Use_case_lifespans!$B6,0)</f>
        <v>0</v>
      </c>
      <c r="Q6" s="88">
        <f>IF(DTE_Lifespans_existing!Q6=1,Use_case_lifespans!$B6,0)</f>
        <v>0</v>
      </c>
      <c r="R6" s="88">
        <f>IF(DTE_Lifespans_existing!R6=1,Use_case_lifespans!$B6,0)</f>
        <v>0</v>
      </c>
      <c r="S6" s="88">
        <f>IF(DTE_Lifespans_existing!S6=1,Use_case_lifespans!$B6,0)</f>
        <v>0</v>
      </c>
      <c r="T6" s="88">
        <f>IF(DTE_Lifespans_existing!T6=1,Use_case_lifespans!$B6,0)</f>
        <v>0</v>
      </c>
      <c r="U6" s="88">
        <f>IF(DTE_Lifespans_existing!U6=1,Use_case_lifespans!$B6,0)</f>
        <v>0</v>
      </c>
      <c r="V6" s="88">
        <f>IF(DTE_Lifespans_existing!V6=1,Use_case_lifespans!$B6,0)</f>
        <v>0</v>
      </c>
    </row>
    <row r="7" spans="1:22" x14ac:dyDescent="0.3">
      <c r="A7" s="32" t="s">
        <v>52</v>
      </c>
      <c r="B7" s="33" t="s">
        <v>41</v>
      </c>
      <c r="C7" s="88" t="str">
        <f>IF(DTE_Lifespans_existing!C7=1,Use_case_lifespans!$B7,0)</f>
        <v>Near Earth Robotic - LEO Science</v>
      </c>
      <c r="D7" s="88" t="str">
        <f>IF(DTE_Lifespans_existing!D7=1,Use_case_lifespans!$B7,0)</f>
        <v>Near Earth Robotic - LEO Science</v>
      </c>
      <c r="E7" s="88" t="str">
        <f>IF(DTE_Lifespans_existing!E7=1,Use_case_lifespans!$B7,0)</f>
        <v>Near Earth Robotic - LEO Science</v>
      </c>
      <c r="F7" s="88" t="str">
        <f>IF(DTE_Lifespans_existing!F7=1,Use_case_lifespans!$B7,0)</f>
        <v>Near Earth Robotic - LEO Science</v>
      </c>
      <c r="G7" s="88" t="str">
        <f>IF(DTE_Lifespans_existing!G7=1,Use_case_lifespans!$B7,0)</f>
        <v>Near Earth Robotic - LEO Science</v>
      </c>
      <c r="H7" s="88" t="str">
        <f>IF(DTE_Lifespans_existing!H7=1,Use_case_lifespans!$B7,0)</f>
        <v>Near Earth Robotic - LEO Science</v>
      </c>
      <c r="I7" s="88">
        <f>IF(DTE_Lifespans_existing!I7=1,Use_case_lifespans!$B7,0)</f>
        <v>0</v>
      </c>
      <c r="J7" s="88">
        <f>IF(DTE_Lifespans_existing!J7=1,Use_case_lifespans!$B7,0)</f>
        <v>0</v>
      </c>
      <c r="K7" s="88">
        <f>IF(DTE_Lifespans_existing!K7=1,Use_case_lifespans!$B7,0)</f>
        <v>0</v>
      </c>
      <c r="L7" s="88">
        <f>IF(DTE_Lifespans_existing!L7=1,Use_case_lifespans!$B7,0)</f>
        <v>0</v>
      </c>
      <c r="M7" s="88">
        <f>IF(DTE_Lifespans_existing!M7=1,Use_case_lifespans!$B7,0)</f>
        <v>0</v>
      </c>
      <c r="N7" s="88">
        <f>IF(DTE_Lifespans_existing!N7=1,Use_case_lifespans!$B7,0)</f>
        <v>0</v>
      </c>
      <c r="O7" s="88">
        <f>IF(DTE_Lifespans_existing!O7=1,Use_case_lifespans!$B7,0)</f>
        <v>0</v>
      </c>
      <c r="P7" s="88">
        <f>IF(DTE_Lifespans_existing!P7=1,Use_case_lifespans!$B7,0)</f>
        <v>0</v>
      </c>
      <c r="Q7" s="88">
        <f>IF(DTE_Lifespans_existing!Q7=1,Use_case_lifespans!$B7,0)</f>
        <v>0</v>
      </c>
      <c r="R7" s="88">
        <f>IF(DTE_Lifespans_existing!R7=1,Use_case_lifespans!$B7,0)</f>
        <v>0</v>
      </c>
      <c r="S7" s="88">
        <f>IF(DTE_Lifespans_existing!S7=1,Use_case_lifespans!$B7,0)</f>
        <v>0</v>
      </c>
      <c r="T7" s="88">
        <f>IF(DTE_Lifespans_existing!T7=1,Use_case_lifespans!$B7,0)</f>
        <v>0</v>
      </c>
      <c r="U7" s="88">
        <f>IF(DTE_Lifespans_existing!U7=1,Use_case_lifespans!$B7,0)</f>
        <v>0</v>
      </c>
      <c r="V7" s="88">
        <f>IF(DTE_Lifespans_existing!V7=1,Use_case_lifespans!$B7,0)</f>
        <v>0</v>
      </c>
    </row>
    <row r="8" spans="1:22" x14ac:dyDescent="0.3">
      <c r="A8" s="32" t="s">
        <v>18</v>
      </c>
      <c r="B8" s="41" t="s">
        <v>48</v>
      </c>
      <c r="C8" s="88" t="str">
        <f>IF(DTE_Lifespans_existing!C8=1,Use_case_lifespans!$B8,0)</f>
        <v>???</v>
      </c>
      <c r="D8" s="88" t="str">
        <f>IF(DTE_Lifespans_existing!D8=1,Use_case_lifespans!$B8,0)</f>
        <v>???</v>
      </c>
      <c r="E8" s="88" t="str">
        <f>IF(DTE_Lifespans_existing!E8=1,Use_case_lifespans!$B8,0)</f>
        <v>???</v>
      </c>
      <c r="F8" s="88" t="str">
        <f>IF(DTE_Lifespans_existing!F8=1,Use_case_lifespans!$B8,0)</f>
        <v>???</v>
      </c>
      <c r="G8" s="88" t="str">
        <f>IF(DTE_Lifespans_existing!G8=1,Use_case_lifespans!$B8,0)</f>
        <v>???</v>
      </c>
      <c r="H8" s="88" t="str">
        <f>IF(DTE_Lifespans_existing!H8=1,Use_case_lifespans!$B8,0)</f>
        <v>???</v>
      </c>
      <c r="I8" s="88" t="str">
        <f>IF(DTE_Lifespans_existing!I8=1,Use_case_lifespans!$B8,0)</f>
        <v>???</v>
      </c>
      <c r="J8" s="88" t="str">
        <f>IF(DTE_Lifespans_existing!J8=1,Use_case_lifespans!$B8,0)</f>
        <v>???</v>
      </c>
      <c r="K8" s="88" t="str">
        <f>IF(DTE_Lifespans_existing!K8=1,Use_case_lifespans!$B8,0)</f>
        <v>???</v>
      </c>
      <c r="L8" s="88" t="str">
        <f>IF(DTE_Lifespans_existing!L8=1,Use_case_lifespans!$B8,0)</f>
        <v>???</v>
      </c>
      <c r="M8" s="88" t="str">
        <f>IF(DTE_Lifespans_existing!M8=1,Use_case_lifespans!$B8,0)</f>
        <v>???</v>
      </c>
      <c r="N8" s="88" t="str">
        <f>IF(DTE_Lifespans_existing!N8=1,Use_case_lifespans!$B8,0)</f>
        <v>???</v>
      </c>
      <c r="O8" s="88" t="str">
        <f>IF(DTE_Lifespans_existing!O8=1,Use_case_lifespans!$B8,0)</f>
        <v>???</v>
      </c>
      <c r="P8" s="88" t="str">
        <f>IF(DTE_Lifespans_existing!P8=1,Use_case_lifespans!$B8,0)</f>
        <v>???</v>
      </c>
      <c r="Q8" s="88" t="str">
        <f>IF(DTE_Lifespans_existing!Q8=1,Use_case_lifespans!$B8,0)</f>
        <v>???</v>
      </c>
      <c r="R8" s="88" t="str">
        <f>IF(DTE_Lifespans_existing!R8=1,Use_case_lifespans!$B8,0)</f>
        <v>???</v>
      </c>
      <c r="S8" s="88" t="str">
        <f>IF(DTE_Lifespans_existing!S8=1,Use_case_lifespans!$B8,0)</f>
        <v>???</v>
      </c>
      <c r="T8" s="88" t="str">
        <f>IF(DTE_Lifespans_existing!T8=1,Use_case_lifespans!$B8,0)</f>
        <v>???</v>
      </c>
      <c r="U8" s="88" t="str">
        <f>IF(DTE_Lifespans_existing!U8=1,Use_case_lifespans!$B8,0)</f>
        <v>???</v>
      </c>
      <c r="V8" s="88" t="str">
        <f>IF(DTE_Lifespans_existing!V8=1,Use_case_lifespans!$B8,0)</f>
        <v>???</v>
      </c>
    </row>
    <row r="9" spans="1:22" x14ac:dyDescent="0.3">
      <c r="A9" s="32" t="s">
        <v>53</v>
      </c>
      <c r="B9" s="33" t="s">
        <v>41</v>
      </c>
      <c r="C9" s="88">
        <f>IF(DTE_Lifespans_existing!C9=1,Use_case_lifespans!$B9,0)</f>
        <v>0</v>
      </c>
      <c r="D9" s="88">
        <f>IF(DTE_Lifespans_existing!D9=1,Use_case_lifespans!$B9,0)</f>
        <v>0</v>
      </c>
      <c r="E9" s="88">
        <f>IF(DTE_Lifespans_existing!E9=1,Use_case_lifespans!$B9,0)</f>
        <v>0</v>
      </c>
      <c r="F9" s="88">
        <f>IF(DTE_Lifespans_existing!F9=1,Use_case_lifespans!$B9,0)</f>
        <v>0</v>
      </c>
      <c r="G9" s="88">
        <f>IF(DTE_Lifespans_existing!G9=1,Use_case_lifespans!$B9,0)</f>
        <v>0</v>
      </c>
      <c r="H9" s="88">
        <f>IF(DTE_Lifespans_existing!H9=1,Use_case_lifespans!$B9,0)</f>
        <v>0</v>
      </c>
      <c r="I9" s="88">
        <f>IF(DTE_Lifespans_existing!I9=1,Use_case_lifespans!$B9,0)</f>
        <v>0</v>
      </c>
      <c r="J9" s="88">
        <f>IF(DTE_Lifespans_existing!J9=1,Use_case_lifespans!$B9,0)</f>
        <v>0</v>
      </c>
      <c r="K9" s="88">
        <f>IF(DTE_Lifespans_existing!K9=1,Use_case_lifespans!$B9,0)</f>
        <v>0</v>
      </c>
      <c r="L9" s="88">
        <f>IF(DTE_Lifespans_existing!L9=1,Use_case_lifespans!$B9,0)</f>
        <v>0</v>
      </c>
      <c r="M9" s="88">
        <f>IF(DTE_Lifespans_existing!M9=1,Use_case_lifespans!$B9,0)</f>
        <v>0</v>
      </c>
      <c r="N9" s="88">
        <f>IF(DTE_Lifespans_existing!N9=1,Use_case_lifespans!$B9,0)</f>
        <v>0</v>
      </c>
      <c r="O9" s="88">
        <f>IF(DTE_Lifespans_existing!O9=1,Use_case_lifespans!$B9,0)</f>
        <v>0</v>
      </c>
      <c r="P9" s="88">
        <f>IF(DTE_Lifespans_existing!P9=1,Use_case_lifespans!$B9,0)</f>
        <v>0</v>
      </c>
      <c r="Q9" s="88">
        <f>IF(DTE_Lifespans_existing!Q9=1,Use_case_lifespans!$B9,0)</f>
        <v>0</v>
      </c>
      <c r="R9" s="88">
        <f>IF(DTE_Lifespans_existing!R9=1,Use_case_lifespans!$B9,0)</f>
        <v>0</v>
      </c>
      <c r="S9" s="88">
        <f>IF(DTE_Lifespans_existing!S9=1,Use_case_lifespans!$B9,0)</f>
        <v>0</v>
      </c>
      <c r="T9" s="88">
        <f>IF(DTE_Lifespans_existing!T9=1,Use_case_lifespans!$B9,0)</f>
        <v>0</v>
      </c>
      <c r="U9" s="88">
        <f>IF(DTE_Lifespans_existing!U9=1,Use_case_lifespans!$B9,0)</f>
        <v>0</v>
      </c>
      <c r="V9" s="88">
        <f>IF(DTE_Lifespans_existing!V9=1,Use_case_lifespans!$B9,0)</f>
        <v>0</v>
      </c>
    </row>
    <row r="10" spans="1:22" x14ac:dyDescent="0.3">
      <c r="A10" s="32" t="s">
        <v>54</v>
      </c>
      <c r="B10" s="40" t="s">
        <v>43</v>
      </c>
      <c r="C10" s="88" t="str">
        <f>IF(DTE_Lifespans_existing!C10=1,Use_case_lifespans!$B10,0)</f>
        <v>Human Space Flight</v>
      </c>
      <c r="D10" s="88" t="str">
        <f>IF(DTE_Lifespans_existing!D10=1,Use_case_lifespans!$B10,0)</f>
        <v>Human Space Flight</v>
      </c>
      <c r="E10" s="88" t="str">
        <f>IF(DTE_Lifespans_existing!E10=1,Use_case_lifespans!$B10,0)</f>
        <v>Human Space Flight</v>
      </c>
      <c r="F10" s="88" t="str">
        <f>IF(DTE_Lifespans_existing!F10=1,Use_case_lifespans!$B10,0)</f>
        <v>Human Space Flight</v>
      </c>
      <c r="G10" s="88" t="str">
        <f>IF(DTE_Lifespans_existing!G10=1,Use_case_lifespans!$B10,0)</f>
        <v>Human Space Flight</v>
      </c>
      <c r="H10" s="88" t="str">
        <f>IF(DTE_Lifespans_existing!H10=1,Use_case_lifespans!$B10,0)</f>
        <v>Human Space Flight</v>
      </c>
      <c r="I10" s="88" t="str">
        <f>IF(DTE_Lifespans_existing!I10=1,Use_case_lifespans!$B10,0)</f>
        <v>Human Space Flight</v>
      </c>
      <c r="J10" s="88" t="str">
        <f>IF(DTE_Lifespans_existing!J10=1,Use_case_lifespans!$B10,0)</f>
        <v>Human Space Flight</v>
      </c>
      <c r="K10" s="88" t="str">
        <f>IF(DTE_Lifespans_existing!K10=1,Use_case_lifespans!$B10,0)</f>
        <v>Human Space Flight</v>
      </c>
      <c r="L10" s="88" t="str">
        <f>IF(DTE_Lifespans_existing!L10=1,Use_case_lifespans!$B10,0)</f>
        <v>Human Space Flight</v>
      </c>
      <c r="M10" s="88">
        <f>IF(DTE_Lifespans_existing!M10=1,Use_case_lifespans!$B10,0)</f>
        <v>0</v>
      </c>
      <c r="N10" s="88">
        <f>IF(DTE_Lifespans_existing!N10=1,Use_case_lifespans!$B10,0)</f>
        <v>0</v>
      </c>
      <c r="O10" s="88">
        <f>IF(DTE_Lifespans_existing!O10=1,Use_case_lifespans!$B10,0)</f>
        <v>0</v>
      </c>
      <c r="P10" s="88">
        <f>IF(DTE_Lifespans_existing!P10=1,Use_case_lifespans!$B10,0)</f>
        <v>0</v>
      </c>
      <c r="Q10" s="88">
        <f>IF(DTE_Lifespans_existing!Q10=1,Use_case_lifespans!$B10,0)</f>
        <v>0</v>
      </c>
      <c r="R10" s="88">
        <f>IF(DTE_Lifespans_existing!R10=1,Use_case_lifespans!$B10,0)</f>
        <v>0</v>
      </c>
      <c r="S10" s="88">
        <f>IF(DTE_Lifespans_existing!S10=1,Use_case_lifespans!$B10,0)</f>
        <v>0</v>
      </c>
      <c r="T10" s="88">
        <f>IF(DTE_Lifespans_existing!T10=1,Use_case_lifespans!$B10,0)</f>
        <v>0</v>
      </c>
      <c r="U10" s="88">
        <f>IF(DTE_Lifespans_existing!U10=1,Use_case_lifespans!$B10,0)</f>
        <v>0</v>
      </c>
      <c r="V10" s="88">
        <f>IF(DTE_Lifespans_existing!V10=1,Use_case_lifespans!$B10,0)</f>
        <v>0</v>
      </c>
    </row>
    <row r="11" spans="1:22" x14ac:dyDescent="0.3">
      <c r="A11" s="32" t="s">
        <v>55</v>
      </c>
      <c r="B11" s="40" t="s">
        <v>42</v>
      </c>
      <c r="C11" s="88" t="str">
        <f>IF(DTE_Lifespans_existing!C11=1,Use_case_lifespans!$B11,0)</f>
        <v>Launch Events</v>
      </c>
      <c r="D11" s="88" t="str">
        <f>IF(DTE_Lifespans_existing!D11=1,Use_case_lifespans!$B11,0)</f>
        <v>Launch Events</v>
      </c>
      <c r="E11" s="88" t="str">
        <f>IF(DTE_Lifespans_existing!E11=1,Use_case_lifespans!$B11,0)</f>
        <v>Launch Events</v>
      </c>
      <c r="F11" s="88" t="str">
        <f>IF(DTE_Lifespans_existing!F11=1,Use_case_lifespans!$B11,0)</f>
        <v>Launch Events</v>
      </c>
      <c r="G11" s="88" t="str">
        <f>IF(DTE_Lifespans_existing!G11=1,Use_case_lifespans!$B11,0)</f>
        <v>Launch Events</v>
      </c>
      <c r="H11" s="88" t="str">
        <f>IF(DTE_Lifespans_existing!H11=1,Use_case_lifespans!$B11,0)</f>
        <v>Launch Events</v>
      </c>
      <c r="I11" s="88" t="str">
        <f>IF(DTE_Lifespans_existing!I11=1,Use_case_lifespans!$B11,0)</f>
        <v>Launch Events</v>
      </c>
      <c r="J11" s="88" t="str">
        <f>IF(DTE_Lifespans_existing!J11=1,Use_case_lifespans!$B11,0)</f>
        <v>Launch Events</v>
      </c>
      <c r="K11" s="88" t="str">
        <f>IF(DTE_Lifespans_existing!K11=1,Use_case_lifespans!$B11,0)</f>
        <v>Launch Events</v>
      </c>
      <c r="L11" s="88" t="str">
        <f>IF(DTE_Lifespans_existing!L11=1,Use_case_lifespans!$B11,0)</f>
        <v>Launch Events</v>
      </c>
      <c r="M11" s="88" t="str">
        <f>IF(DTE_Lifespans_existing!M11=1,Use_case_lifespans!$B11,0)</f>
        <v>Launch Events</v>
      </c>
      <c r="N11" s="88" t="str">
        <f>IF(DTE_Lifespans_existing!N11=1,Use_case_lifespans!$B11,0)</f>
        <v>Launch Events</v>
      </c>
      <c r="O11" s="88" t="str">
        <f>IF(DTE_Lifespans_existing!O11=1,Use_case_lifespans!$B11,0)</f>
        <v>Launch Events</v>
      </c>
      <c r="P11" s="88" t="str">
        <f>IF(DTE_Lifespans_existing!P11=1,Use_case_lifespans!$B11,0)</f>
        <v>Launch Events</v>
      </c>
      <c r="Q11" s="88" t="str">
        <f>IF(DTE_Lifespans_existing!Q11=1,Use_case_lifespans!$B11,0)</f>
        <v>Launch Events</v>
      </c>
      <c r="R11" s="88" t="str">
        <f>IF(DTE_Lifespans_existing!R11=1,Use_case_lifespans!$B11,0)</f>
        <v>Launch Events</v>
      </c>
      <c r="S11" s="88" t="str">
        <f>IF(DTE_Lifespans_existing!S11=1,Use_case_lifespans!$B11,0)</f>
        <v>Launch Events</v>
      </c>
      <c r="T11" s="88" t="str">
        <f>IF(DTE_Lifespans_existing!T11=1,Use_case_lifespans!$B11,0)</f>
        <v>Launch Events</v>
      </c>
      <c r="U11" s="88" t="str">
        <f>IF(DTE_Lifespans_existing!U11=1,Use_case_lifespans!$B11,0)</f>
        <v>Launch Events</v>
      </c>
      <c r="V11" s="88" t="str">
        <f>IF(DTE_Lifespans_existing!V11=1,Use_case_lifespans!$B11,0)</f>
        <v>Launch Events</v>
      </c>
    </row>
    <row r="12" spans="1:22" x14ac:dyDescent="0.3">
      <c r="A12" s="32" t="s">
        <v>56</v>
      </c>
      <c r="B12" s="39" t="s">
        <v>43</v>
      </c>
      <c r="C12" s="88" t="str">
        <f>IF(DTE_Lifespans_existing!C12=1,Use_case_lifespans!$B12,0)</f>
        <v>Human Space Flight</v>
      </c>
      <c r="D12" s="88" t="str">
        <f>IF(DTE_Lifespans_existing!D12=1,Use_case_lifespans!$B12,0)</f>
        <v>Human Space Flight</v>
      </c>
      <c r="E12" s="88" t="str">
        <f>IF(DTE_Lifespans_existing!E12=1,Use_case_lifespans!$B12,0)</f>
        <v>Human Space Flight</v>
      </c>
      <c r="F12" s="88" t="str">
        <f>IF(DTE_Lifespans_existing!F12=1,Use_case_lifespans!$B12,0)</f>
        <v>Human Space Flight</v>
      </c>
      <c r="G12" s="88" t="str">
        <f>IF(DTE_Lifespans_existing!G12=1,Use_case_lifespans!$B12,0)</f>
        <v>Human Space Flight</v>
      </c>
      <c r="H12" s="88" t="str">
        <f>IF(DTE_Lifespans_existing!H12=1,Use_case_lifespans!$B12,0)</f>
        <v>Human Space Flight</v>
      </c>
      <c r="I12" s="88" t="str">
        <f>IF(DTE_Lifespans_existing!I12=1,Use_case_lifespans!$B12,0)</f>
        <v>Human Space Flight</v>
      </c>
      <c r="J12" s="88" t="str">
        <f>IF(DTE_Lifespans_existing!J12=1,Use_case_lifespans!$B12,0)</f>
        <v>Human Space Flight</v>
      </c>
      <c r="K12" s="88" t="str">
        <f>IF(DTE_Lifespans_existing!K12=1,Use_case_lifespans!$B12,0)</f>
        <v>Human Space Flight</v>
      </c>
      <c r="L12" s="88" t="str">
        <f>IF(DTE_Lifespans_existing!L12=1,Use_case_lifespans!$B12,0)</f>
        <v>Human Space Flight</v>
      </c>
      <c r="M12" s="88" t="str">
        <f>IF(DTE_Lifespans_existing!M12=1,Use_case_lifespans!$B12,0)</f>
        <v>Human Space Flight</v>
      </c>
      <c r="N12" s="88" t="str">
        <f>IF(DTE_Lifespans_existing!N12=1,Use_case_lifespans!$B12,0)</f>
        <v>Human Space Flight</v>
      </c>
      <c r="O12" s="88" t="str">
        <f>IF(DTE_Lifespans_existing!O12=1,Use_case_lifespans!$B12,0)</f>
        <v>Human Space Flight</v>
      </c>
      <c r="P12" s="88" t="str">
        <f>IF(DTE_Lifespans_existing!P12=1,Use_case_lifespans!$B12,0)</f>
        <v>Human Space Flight</v>
      </c>
      <c r="Q12" s="88" t="str">
        <f>IF(DTE_Lifespans_existing!Q12=1,Use_case_lifespans!$B12,0)</f>
        <v>Human Space Flight</v>
      </c>
      <c r="R12" s="88" t="str">
        <f>IF(DTE_Lifespans_existing!R12=1,Use_case_lifespans!$B12,0)</f>
        <v>Human Space Flight</v>
      </c>
      <c r="S12" s="88" t="str">
        <f>IF(DTE_Lifespans_existing!S12=1,Use_case_lifespans!$B12,0)</f>
        <v>Human Space Flight</v>
      </c>
      <c r="T12" s="88" t="str">
        <f>IF(DTE_Lifespans_existing!T12=1,Use_case_lifespans!$B12,0)</f>
        <v>Human Space Flight</v>
      </c>
      <c r="U12" s="88" t="str">
        <f>IF(DTE_Lifespans_existing!U12=1,Use_case_lifespans!$B12,0)</f>
        <v>Human Space Flight</v>
      </c>
      <c r="V12" s="88" t="str">
        <f>IF(DTE_Lifespans_existing!V12=1,Use_case_lifespans!$B12,0)</f>
        <v>Human Space Flight</v>
      </c>
    </row>
    <row r="13" spans="1:22" x14ac:dyDescent="0.3">
      <c r="A13" s="32" t="s">
        <v>66</v>
      </c>
      <c r="B13" s="41" t="s">
        <v>48</v>
      </c>
      <c r="C13" s="88" t="str">
        <f>IF(DTE_Lifespans_existing!C13=1,Use_case_lifespans!$B13,0)</f>
        <v>???</v>
      </c>
      <c r="D13" s="88" t="str">
        <f>IF(DTE_Lifespans_existing!D13=1,Use_case_lifespans!$B13,0)</f>
        <v>???</v>
      </c>
      <c r="E13" s="88" t="str">
        <f>IF(DTE_Lifespans_existing!E13=1,Use_case_lifespans!$B13,0)</f>
        <v>???</v>
      </c>
      <c r="F13" s="88">
        <f>IF(DTE_Lifespans_existing!F13=1,Use_case_lifespans!$B13,0)</f>
        <v>0</v>
      </c>
      <c r="G13" s="88">
        <f>IF(DTE_Lifespans_existing!G13=1,Use_case_lifespans!$B13,0)</f>
        <v>0</v>
      </c>
      <c r="H13" s="88">
        <f>IF(DTE_Lifespans_existing!H13=1,Use_case_lifespans!$B13,0)</f>
        <v>0</v>
      </c>
      <c r="I13" s="88">
        <f>IF(DTE_Lifespans_existing!I13=1,Use_case_lifespans!$B13,0)</f>
        <v>0</v>
      </c>
      <c r="J13" s="88">
        <f>IF(DTE_Lifespans_existing!J13=1,Use_case_lifespans!$B13,0)</f>
        <v>0</v>
      </c>
      <c r="K13" s="88">
        <f>IF(DTE_Lifespans_existing!K13=1,Use_case_lifespans!$B13,0)</f>
        <v>0</v>
      </c>
      <c r="L13" s="88">
        <f>IF(DTE_Lifespans_existing!L13=1,Use_case_lifespans!$B13,0)</f>
        <v>0</v>
      </c>
      <c r="M13" s="88">
        <f>IF(DTE_Lifespans_existing!M13=1,Use_case_lifespans!$B13,0)</f>
        <v>0</v>
      </c>
      <c r="N13" s="88">
        <f>IF(DTE_Lifespans_existing!N13=1,Use_case_lifespans!$B13,0)</f>
        <v>0</v>
      </c>
      <c r="O13" s="88">
        <f>IF(DTE_Lifespans_existing!O13=1,Use_case_lifespans!$B13,0)</f>
        <v>0</v>
      </c>
      <c r="P13" s="88">
        <f>IF(DTE_Lifespans_existing!P13=1,Use_case_lifespans!$B13,0)</f>
        <v>0</v>
      </c>
      <c r="Q13" s="88">
        <f>IF(DTE_Lifespans_existing!Q13=1,Use_case_lifespans!$B13,0)</f>
        <v>0</v>
      </c>
      <c r="R13" s="88">
        <f>IF(DTE_Lifespans_existing!R13=1,Use_case_lifespans!$B13,0)</f>
        <v>0</v>
      </c>
      <c r="S13" s="88">
        <f>IF(DTE_Lifespans_existing!S13=1,Use_case_lifespans!$B13,0)</f>
        <v>0</v>
      </c>
      <c r="T13" s="88">
        <f>IF(DTE_Lifespans_existing!T13=1,Use_case_lifespans!$B13,0)</f>
        <v>0</v>
      </c>
      <c r="U13" s="88">
        <f>IF(DTE_Lifespans_existing!U13=1,Use_case_lifespans!$B13,0)</f>
        <v>0</v>
      </c>
      <c r="V13" s="88">
        <f>IF(DTE_Lifespans_existing!V13=1,Use_case_lifespans!$B13,0)</f>
        <v>0</v>
      </c>
    </row>
    <row r="14" spans="1:22" x14ac:dyDescent="0.3">
      <c r="A14" s="32" t="s">
        <v>19</v>
      </c>
      <c r="B14" s="33" t="s">
        <v>41</v>
      </c>
      <c r="C14" s="88" t="str">
        <f>IF(DTE_Lifespans_existing!C14=1,Use_case_lifespans!$B14,0)</f>
        <v>Near Earth Robotic - LEO Science</v>
      </c>
      <c r="D14" s="88" t="str">
        <f>IF(DTE_Lifespans_existing!D14=1,Use_case_lifespans!$B14,0)</f>
        <v>Near Earth Robotic - LEO Science</v>
      </c>
      <c r="E14" s="88" t="str">
        <f>IF(DTE_Lifespans_existing!E14=1,Use_case_lifespans!$B14,0)</f>
        <v>Near Earth Robotic - LEO Science</v>
      </c>
      <c r="F14" s="88" t="str">
        <f>IF(DTE_Lifespans_existing!F14=1,Use_case_lifespans!$B14,0)</f>
        <v>Near Earth Robotic - LEO Science</v>
      </c>
      <c r="G14" s="88" t="str">
        <f>IF(DTE_Lifespans_existing!G14=1,Use_case_lifespans!$B14,0)</f>
        <v>Near Earth Robotic - LEO Science</v>
      </c>
      <c r="H14" s="88" t="str">
        <f>IF(DTE_Lifespans_existing!H14=1,Use_case_lifespans!$B14,0)</f>
        <v>Near Earth Robotic - LEO Science</v>
      </c>
      <c r="I14" s="88" t="str">
        <f>IF(DTE_Lifespans_existing!I14=1,Use_case_lifespans!$B14,0)</f>
        <v>Near Earth Robotic - LEO Science</v>
      </c>
      <c r="J14" s="88">
        <f>IF(DTE_Lifespans_existing!J14=1,Use_case_lifespans!$B14,0)</f>
        <v>0</v>
      </c>
      <c r="K14" s="88">
        <f>IF(DTE_Lifespans_existing!K14=1,Use_case_lifespans!$B14,0)</f>
        <v>0</v>
      </c>
      <c r="L14" s="88">
        <f>IF(DTE_Lifespans_existing!L14=1,Use_case_lifespans!$B14,0)</f>
        <v>0</v>
      </c>
      <c r="M14" s="88">
        <f>IF(DTE_Lifespans_existing!M14=1,Use_case_lifespans!$B14,0)</f>
        <v>0</v>
      </c>
      <c r="N14" s="88">
        <f>IF(DTE_Lifespans_existing!N14=1,Use_case_lifespans!$B14,0)</f>
        <v>0</v>
      </c>
      <c r="O14" s="88">
        <f>IF(DTE_Lifespans_existing!O14=1,Use_case_lifespans!$B14,0)</f>
        <v>0</v>
      </c>
      <c r="P14" s="88">
        <f>IF(DTE_Lifespans_existing!P14=1,Use_case_lifespans!$B14,0)</f>
        <v>0</v>
      </c>
      <c r="Q14" s="88">
        <f>IF(DTE_Lifespans_existing!Q14=1,Use_case_lifespans!$B14,0)</f>
        <v>0</v>
      </c>
      <c r="R14" s="88">
        <f>IF(DTE_Lifespans_existing!R14=1,Use_case_lifespans!$B14,0)</f>
        <v>0</v>
      </c>
      <c r="S14" s="88">
        <f>IF(DTE_Lifespans_existing!S14=1,Use_case_lifespans!$B14,0)</f>
        <v>0</v>
      </c>
      <c r="T14" s="88">
        <f>IF(DTE_Lifespans_existing!T14=1,Use_case_lifespans!$B14,0)</f>
        <v>0</v>
      </c>
      <c r="U14" s="88">
        <f>IF(DTE_Lifespans_existing!U14=1,Use_case_lifespans!$B14,0)</f>
        <v>0</v>
      </c>
      <c r="V14" s="88">
        <f>IF(DTE_Lifespans_existing!V14=1,Use_case_lifespans!$B14,0)</f>
        <v>0</v>
      </c>
    </row>
    <row r="15" spans="1:22" x14ac:dyDescent="0.3">
      <c r="A15" s="44" t="s">
        <v>67</v>
      </c>
      <c r="B15" s="33" t="s">
        <v>40</v>
      </c>
      <c r="C15" s="88" t="str">
        <f>IF(DTE_Lifespans_existing!C15=1,Use_case_lifespans!$B15,0)</f>
        <v>Near Earth Robotic - GEO and Near Earth</v>
      </c>
      <c r="D15" s="88" t="str">
        <f>IF(DTE_Lifespans_existing!D15=1,Use_case_lifespans!$B15,0)</f>
        <v>Near Earth Robotic - GEO and Near Earth</v>
      </c>
      <c r="E15" s="88" t="str">
        <f>IF(DTE_Lifespans_existing!E15=1,Use_case_lifespans!$B15,0)</f>
        <v>Near Earth Robotic - GEO and Near Earth</v>
      </c>
      <c r="F15" s="88" t="str">
        <f>IF(DTE_Lifespans_existing!F15=1,Use_case_lifespans!$B15,0)</f>
        <v>Near Earth Robotic - GEO and Near Earth</v>
      </c>
      <c r="G15" s="88" t="str">
        <f>IF(DTE_Lifespans_existing!G15=1,Use_case_lifespans!$B15,0)</f>
        <v>Near Earth Robotic - GEO and Near Earth</v>
      </c>
      <c r="H15" s="88" t="str">
        <f>IF(DTE_Lifespans_existing!H15=1,Use_case_lifespans!$B15,0)</f>
        <v>Near Earth Robotic - GEO and Near Earth</v>
      </c>
      <c r="I15" s="88" t="str">
        <f>IF(DTE_Lifespans_existing!I15=1,Use_case_lifespans!$B15,0)</f>
        <v>Near Earth Robotic - GEO and Near Earth</v>
      </c>
      <c r="J15" s="88" t="str">
        <f>IF(DTE_Lifespans_existing!J15=1,Use_case_lifespans!$B15,0)</f>
        <v>Near Earth Robotic - GEO and Near Earth</v>
      </c>
      <c r="K15" s="88" t="str">
        <f>IF(DTE_Lifespans_existing!K15=1,Use_case_lifespans!$B15,0)</f>
        <v>Near Earth Robotic - GEO and Near Earth</v>
      </c>
      <c r="L15" s="88" t="str">
        <f>IF(DTE_Lifespans_existing!L15=1,Use_case_lifespans!$B15,0)</f>
        <v>Near Earth Robotic - GEO and Near Earth</v>
      </c>
      <c r="M15" s="88" t="str">
        <f>IF(DTE_Lifespans_existing!M15=1,Use_case_lifespans!$B15,0)</f>
        <v>Near Earth Robotic - GEO and Near Earth</v>
      </c>
      <c r="N15" s="88" t="str">
        <f>IF(DTE_Lifespans_existing!N15=1,Use_case_lifespans!$B15,0)</f>
        <v>Near Earth Robotic - GEO and Near Earth</v>
      </c>
      <c r="O15" s="88" t="str">
        <f>IF(DTE_Lifespans_existing!O15=1,Use_case_lifespans!$B15,0)</f>
        <v>Near Earth Robotic - GEO and Near Earth</v>
      </c>
      <c r="P15" s="88" t="str">
        <f>IF(DTE_Lifespans_existing!P15=1,Use_case_lifespans!$B15,0)</f>
        <v>Near Earth Robotic - GEO and Near Earth</v>
      </c>
      <c r="Q15" s="88" t="str">
        <f>IF(DTE_Lifespans_existing!Q15=1,Use_case_lifespans!$B15,0)</f>
        <v>Near Earth Robotic - GEO and Near Earth</v>
      </c>
      <c r="R15" s="88" t="str">
        <f>IF(DTE_Lifespans_existing!R15=1,Use_case_lifespans!$B15,0)</f>
        <v>Near Earth Robotic - GEO and Near Earth</v>
      </c>
      <c r="S15" s="88" t="str">
        <f>IF(DTE_Lifespans_existing!S15=1,Use_case_lifespans!$B15,0)</f>
        <v>Near Earth Robotic - GEO and Near Earth</v>
      </c>
      <c r="T15" s="88" t="str">
        <f>IF(DTE_Lifespans_existing!T15=1,Use_case_lifespans!$B15,0)</f>
        <v>Near Earth Robotic - GEO and Near Earth</v>
      </c>
      <c r="U15" s="88" t="str">
        <f>IF(DTE_Lifespans_existing!U15=1,Use_case_lifespans!$B15,0)</f>
        <v>Near Earth Robotic - GEO and Near Earth</v>
      </c>
      <c r="V15" s="88" t="str">
        <f>IF(DTE_Lifespans_existing!V15=1,Use_case_lifespans!$B15,0)</f>
        <v>Near Earth Robotic - GEO and Near Earth</v>
      </c>
    </row>
    <row r="16" spans="1:22" x14ac:dyDescent="0.3">
      <c r="A16" s="44" t="s">
        <v>68</v>
      </c>
      <c r="B16" s="33" t="s">
        <v>40</v>
      </c>
      <c r="C16" s="88" t="str">
        <f>IF(DTE_Lifespans_existing!C16=1,Use_case_lifespans!$B16,0)</f>
        <v>Near Earth Robotic - GEO and Near Earth</v>
      </c>
      <c r="D16" s="88" t="str">
        <f>IF(DTE_Lifespans_existing!D16=1,Use_case_lifespans!$B16,0)</f>
        <v>Near Earth Robotic - GEO and Near Earth</v>
      </c>
      <c r="E16" s="88" t="str">
        <f>IF(DTE_Lifespans_existing!E16=1,Use_case_lifespans!$B16,0)</f>
        <v>Near Earth Robotic - GEO and Near Earth</v>
      </c>
      <c r="F16" s="88" t="str">
        <f>IF(DTE_Lifespans_existing!F16=1,Use_case_lifespans!$B16,0)</f>
        <v>Near Earth Robotic - GEO and Near Earth</v>
      </c>
      <c r="G16" s="88" t="str">
        <f>IF(DTE_Lifespans_existing!G16=1,Use_case_lifespans!$B16,0)</f>
        <v>Near Earth Robotic - GEO and Near Earth</v>
      </c>
      <c r="H16" s="88" t="str">
        <f>IF(DTE_Lifespans_existing!H16=1,Use_case_lifespans!$B16,0)</f>
        <v>Near Earth Robotic - GEO and Near Earth</v>
      </c>
      <c r="I16" s="88" t="str">
        <f>IF(DTE_Lifespans_existing!I16=1,Use_case_lifespans!$B16,0)</f>
        <v>Near Earth Robotic - GEO and Near Earth</v>
      </c>
      <c r="J16" s="88" t="str">
        <f>IF(DTE_Lifespans_existing!J16=1,Use_case_lifespans!$B16,0)</f>
        <v>Near Earth Robotic - GEO and Near Earth</v>
      </c>
      <c r="K16" s="88" t="str">
        <f>IF(DTE_Lifespans_existing!K16=1,Use_case_lifespans!$B16,0)</f>
        <v>Near Earth Robotic - GEO and Near Earth</v>
      </c>
      <c r="L16" s="88" t="str">
        <f>IF(DTE_Lifespans_existing!L16=1,Use_case_lifespans!$B16,0)</f>
        <v>Near Earth Robotic - GEO and Near Earth</v>
      </c>
      <c r="M16" s="88" t="str">
        <f>IF(DTE_Lifespans_existing!M16=1,Use_case_lifespans!$B16,0)</f>
        <v>Near Earth Robotic - GEO and Near Earth</v>
      </c>
      <c r="N16" s="88" t="str">
        <f>IF(DTE_Lifespans_existing!N16=1,Use_case_lifespans!$B16,0)</f>
        <v>Near Earth Robotic - GEO and Near Earth</v>
      </c>
      <c r="O16" s="88" t="str">
        <f>IF(DTE_Lifespans_existing!O16=1,Use_case_lifespans!$B16,0)</f>
        <v>Near Earth Robotic - GEO and Near Earth</v>
      </c>
      <c r="P16" s="88" t="str">
        <f>IF(DTE_Lifespans_existing!P16=1,Use_case_lifespans!$B16,0)</f>
        <v>Near Earth Robotic - GEO and Near Earth</v>
      </c>
      <c r="Q16" s="88" t="str">
        <f>IF(DTE_Lifespans_existing!Q16=1,Use_case_lifespans!$B16,0)</f>
        <v>Near Earth Robotic - GEO and Near Earth</v>
      </c>
      <c r="R16" s="88" t="str">
        <f>IF(DTE_Lifespans_existing!R16=1,Use_case_lifespans!$B16,0)</f>
        <v>Near Earth Robotic - GEO and Near Earth</v>
      </c>
      <c r="S16" s="88" t="str">
        <f>IF(DTE_Lifespans_existing!S16=1,Use_case_lifespans!$B16,0)</f>
        <v>Near Earth Robotic - GEO and Near Earth</v>
      </c>
      <c r="T16" s="88" t="str">
        <f>IF(DTE_Lifespans_existing!T16=1,Use_case_lifespans!$B16,0)</f>
        <v>Near Earth Robotic - GEO and Near Earth</v>
      </c>
      <c r="U16" s="88" t="str">
        <f>IF(DTE_Lifespans_existing!U16=1,Use_case_lifespans!$B16,0)</f>
        <v>Near Earth Robotic - GEO and Near Earth</v>
      </c>
      <c r="V16" s="88" t="str">
        <f>IF(DTE_Lifespans_existing!V16=1,Use_case_lifespans!$B16,0)</f>
        <v>Near Earth Robotic - GEO and Near Earth</v>
      </c>
    </row>
    <row r="17" spans="1:22" x14ac:dyDescent="0.3">
      <c r="A17" s="44" t="s">
        <v>69</v>
      </c>
      <c r="B17" s="33" t="s">
        <v>40</v>
      </c>
      <c r="C17" s="88" t="str">
        <f>IF(DTE_Lifespans_existing!C17=1,Use_case_lifespans!$B17,0)</f>
        <v>Near Earth Robotic - GEO and Near Earth</v>
      </c>
      <c r="D17" s="88" t="str">
        <f>IF(DTE_Lifespans_existing!D17=1,Use_case_lifespans!$B17,0)</f>
        <v>Near Earth Robotic - GEO and Near Earth</v>
      </c>
      <c r="E17" s="88" t="str">
        <f>IF(DTE_Lifespans_existing!E17=1,Use_case_lifespans!$B17,0)</f>
        <v>Near Earth Robotic - GEO and Near Earth</v>
      </c>
      <c r="F17" s="88" t="str">
        <f>IF(DTE_Lifespans_existing!F17=1,Use_case_lifespans!$B17,0)</f>
        <v>Near Earth Robotic - GEO and Near Earth</v>
      </c>
      <c r="G17" s="88" t="str">
        <f>IF(DTE_Lifespans_existing!G17=1,Use_case_lifespans!$B17,0)</f>
        <v>Near Earth Robotic - GEO and Near Earth</v>
      </c>
      <c r="H17" s="88" t="str">
        <f>IF(DTE_Lifespans_existing!H17=1,Use_case_lifespans!$B17,0)</f>
        <v>Near Earth Robotic - GEO and Near Earth</v>
      </c>
      <c r="I17" s="88" t="str">
        <f>IF(DTE_Lifespans_existing!I17=1,Use_case_lifespans!$B17,0)</f>
        <v>Near Earth Robotic - GEO and Near Earth</v>
      </c>
      <c r="J17" s="88" t="str">
        <f>IF(DTE_Lifespans_existing!J17=1,Use_case_lifespans!$B17,0)</f>
        <v>Near Earth Robotic - GEO and Near Earth</v>
      </c>
      <c r="K17" s="88" t="str">
        <f>IF(DTE_Lifespans_existing!K17=1,Use_case_lifespans!$B17,0)</f>
        <v>Near Earth Robotic - GEO and Near Earth</v>
      </c>
      <c r="L17" s="88" t="str">
        <f>IF(DTE_Lifespans_existing!L17=1,Use_case_lifespans!$B17,0)</f>
        <v>Near Earth Robotic - GEO and Near Earth</v>
      </c>
      <c r="M17" s="88" t="str">
        <f>IF(DTE_Lifespans_existing!M17=1,Use_case_lifespans!$B17,0)</f>
        <v>Near Earth Robotic - GEO and Near Earth</v>
      </c>
      <c r="N17" s="88" t="str">
        <f>IF(DTE_Lifespans_existing!N17=1,Use_case_lifespans!$B17,0)</f>
        <v>Near Earth Robotic - GEO and Near Earth</v>
      </c>
      <c r="O17" s="88" t="str">
        <f>IF(DTE_Lifespans_existing!O17=1,Use_case_lifespans!$B17,0)</f>
        <v>Near Earth Robotic - GEO and Near Earth</v>
      </c>
      <c r="P17" s="88" t="str">
        <f>IF(DTE_Lifespans_existing!P17=1,Use_case_lifespans!$B17,0)</f>
        <v>Near Earth Robotic - GEO and Near Earth</v>
      </c>
      <c r="Q17" s="88" t="str">
        <f>IF(DTE_Lifespans_existing!Q17=1,Use_case_lifespans!$B17,0)</f>
        <v>Near Earth Robotic - GEO and Near Earth</v>
      </c>
      <c r="R17" s="88" t="str">
        <f>IF(DTE_Lifespans_existing!R17=1,Use_case_lifespans!$B17,0)</f>
        <v>Near Earth Robotic - GEO and Near Earth</v>
      </c>
      <c r="S17" s="88" t="str">
        <f>IF(DTE_Lifespans_existing!S17=1,Use_case_lifespans!$B17,0)</f>
        <v>Near Earth Robotic - GEO and Near Earth</v>
      </c>
      <c r="T17" s="88" t="str">
        <f>IF(DTE_Lifespans_existing!T17=1,Use_case_lifespans!$B17,0)</f>
        <v>Near Earth Robotic - GEO and Near Earth</v>
      </c>
      <c r="U17" s="88" t="str">
        <f>IF(DTE_Lifespans_existing!U17=1,Use_case_lifespans!$B17,0)</f>
        <v>Near Earth Robotic - GEO and Near Earth</v>
      </c>
      <c r="V17" s="88" t="str">
        <f>IF(DTE_Lifespans_existing!V17=1,Use_case_lifespans!$B17,0)</f>
        <v>Near Earth Robotic - GEO and Near Earth</v>
      </c>
    </row>
    <row r="18" spans="1:22" x14ac:dyDescent="0.3">
      <c r="A18" s="44" t="s">
        <v>70</v>
      </c>
      <c r="B18" s="33" t="s">
        <v>40</v>
      </c>
      <c r="C18" s="88" t="str">
        <f>IF(DTE_Lifespans_existing!C18=1,Use_case_lifespans!$B18,0)</f>
        <v>Near Earth Robotic - GEO and Near Earth</v>
      </c>
      <c r="D18" s="88" t="str">
        <f>IF(DTE_Lifespans_existing!D18=1,Use_case_lifespans!$B18,0)</f>
        <v>Near Earth Robotic - GEO and Near Earth</v>
      </c>
      <c r="E18" s="88" t="str">
        <f>IF(DTE_Lifespans_existing!E18=1,Use_case_lifespans!$B18,0)</f>
        <v>Near Earth Robotic - GEO and Near Earth</v>
      </c>
      <c r="F18" s="88" t="str">
        <f>IF(DTE_Lifespans_existing!F18=1,Use_case_lifespans!$B18,0)</f>
        <v>Near Earth Robotic - GEO and Near Earth</v>
      </c>
      <c r="G18" s="88" t="str">
        <f>IF(DTE_Lifespans_existing!G18=1,Use_case_lifespans!$B18,0)</f>
        <v>Near Earth Robotic - GEO and Near Earth</v>
      </c>
      <c r="H18" s="88" t="str">
        <f>IF(DTE_Lifespans_existing!H18=1,Use_case_lifespans!$B18,0)</f>
        <v>Near Earth Robotic - GEO and Near Earth</v>
      </c>
      <c r="I18" s="88" t="str">
        <f>IF(DTE_Lifespans_existing!I18=1,Use_case_lifespans!$B18,0)</f>
        <v>Near Earth Robotic - GEO and Near Earth</v>
      </c>
      <c r="J18" s="88" t="str">
        <f>IF(DTE_Lifespans_existing!J18=1,Use_case_lifespans!$B18,0)</f>
        <v>Near Earth Robotic - GEO and Near Earth</v>
      </c>
      <c r="K18" s="88" t="str">
        <f>IF(DTE_Lifespans_existing!K18=1,Use_case_lifespans!$B18,0)</f>
        <v>Near Earth Robotic - GEO and Near Earth</v>
      </c>
      <c r="L18" s="88" t="str">
        <f>IF(DTE_Lifespans_existing!L18=1,Use_case_lifespans!$B18,0)</f>
        <v>Near Earth Robotic - GEO and Near Earth</v>
      </c>
      <c r="M18" s="88" t="str">
        <f>IF(DTE_Lifespans_existing!M18=1,Use_case_lifespans!$B18,0)</f>
        <v>Near Earth Robotic - GEO and Near Earth</v>
      </c>
      <c r="N18" s="88" t="str">
        <f>IF(DTE_Lifespans_existing!N18=1,Use_case_lifespans!$B18,0)</f>
        <v>Near Earth Robotic - GEO and Near Earth</v>
      </c>
      <c r="O18" s="88" t="str">
        <f>IF(DTE_Lifespans_existing!O18=1,Use_case_lifespans!$B18,0)</f>
        <v>Near Earth Robotic - GEO and Near Earth</v>
      </c>
      <c r="P18" s="88" t="str">
        <f>IF(DTE_Lifespans_existing!P18=1,Use_case_lifespans!$B18,0)</f>
        <v>Near Earth Robotic - GEO and Near Earth</v>
      </c>
      <c r="Q18" s="88" t="str">
        <f>IF(DTE_Lifespans_existing!Q18=1,Use_case_lifespans!$B18,0)</f>
        <v>Near Earth Robotic - GEO and Near Earth</v>
      </c>
      <c r="R18" s="88" t="str">
        <f>IF(DTE_Lifespans_existing!R18=1,Use_case_lifespans!$B18,0)</f>
        <v>Near Earth Robotic - GEO and Near Earth</v>
      </c>
      <c r="S18" s="88" t="str">
        <f>IF(DTE_Lifespans_existing!S18=1,Use_case_lifespans!$B18,0)</f>
        <v>Near Earth Robotic - GEO and Near Earth</v>
      </c>
      <c r="T18" s="88" t="str">
        <f>IF(DTE_Lifespans_existing!T18=1,Use_case_lifespans!$B18,0)</f>
        <v>Near Earth Robotic - GEO and Near Earth</v>
      </c>
      <c r="U18" s="88" t="str">
        <f>IF(DTE_Lifespans_existing!U18=1,Use_case_lifespans!$B18,0)</f>
        <v>Near Earth Robotic - GEO and Near Earth</v>
      </c>
      <c r="V18" s="88" t="str">
        <f>IF(DTE_Lifespans_existing!V18=1,Use_case_lifespans!$B18,0)</f>
        <v>Near Earth Robotic - GEO and Near Earth</v>
      </c>
    </row>
    <row r="19" spans="1:22" x14ac:dyDescent="0.3">
      <c r="A19" s="32" t="s">
        <v>20</v>
      </c>
      <c r="B19" s="33" t="s">
        <v>41</v>
      </c>
      <c r="C19" s="88" t="str">
        <f>IF(DTE_Lifespans_existing!C19=1,Use_case_lifespans!$B19,0)</f>
        <v>Near Earth Robotic - LEO Science</v>
      </c>
      <c r="D19" s="88" t="str">
        <f>IF(DTE_Lifespans_existing!D19=1,Use_case_lifespans!$B19,0)</f>
        <v>Near Earth Robotic - LEO Science</v>
      </c>
      <c r="E19" s="88" t="str">
        <f>IF(DTE_Lifespans_existing!E19=1,Use_case_lifespans!$B19,0)</f>
        <v>Near Earth Robotic - LEO Science</v>
      </c>
      <c r="F19" s="88" t="str">
        <f>IF(DTE_Lifespans_existing!F19=1,Use_case_lifespans!$B19,0)</f>
        <v>Near Earth Robotic - LEO Science</v>
      </c>
      <c r="G19" s="88" t="str">
        <f>IF(DTE_Lifespans_existing!G19=1,Use_case_lifespans!$B19,0)</f>
        <v>Near Earth Robotic - LEO Science</v>
      </c>
      <c r="H19" s="88" t="str">
        <f>IF(DTE_Lifespans_existing!H19=1,Use_case_lifespans!$B19,0)</f>
        <v>Near Earth Robotic - LEO Science</v>
      </c>
      <c r="I19" s="88" t="str">
        <f>IF(DTE_Lifespans_existing!I19=1,Use_case_lifespans!$B19,0)</f>
        <v>Near Earth Robotic - LEO Science</v>
      </c>
      <c r="J19" s="88" t="str">
        <f>IF(DTE_Lifespans_existing!J19=1,Use_case_lifespans!$B19,0)</f>
        <v>Near Earth Robotic - LEO Science</v>
      </c>
      <c r="K19" s="88" t="str">
        <f>IF(DTE_Lifespans_existing!K19=1,Use_case_lifespans!$B19,0)</f>
        <v>Near Earth Robotic - LEO Science</v>
      </c>
      <c r="L19" s="88" t="str">
        <f>IF(DTE_Lifespans_existing!L19=1,Use_case_lifespans!$B19,0)</f>
        <v>Near Earth Robotic - LEO Science</v>
      </c>
      <c r="M19" s="88" t="str">
        <f>IF(DTE_Lifespans_existing!M19=1,Use_case_lifespans!$B19,0)</f>
        <v>Near Earth Robotic - LEO Science</v>
      </c>
      <c r="N19" s="88" t="str">
        <f>IF(DTE_Lifespans_existing!N19=1,Use_case_lifespans!$B19,0)</f>
        <v>Near Earth Robotic - LEO Science</v>
      </c>
      <c r="O19" s="88" t="str">
        <f>IF(DTE_Lifespans_existing!O19=1,Use_case_lifespans!$B19,0)</f>
        <v>Near Earth Robotic - LEO Science</v>
      </c>
      <c r="P19" s="88" t="str">
        <f>IF(DTE_Lifespans_existing!P19=1,Use_case_lifespans!$B19,0)</f>
        <v>Near Earth Robotic - LEO Science</v>
      </c>
      <c r="Q19" s="88" t="str">
        <f>IF(DTE_Lifespans_existing!Q19=1,Use_case_lifespans!$B19,0)</f>
        <v>Near Earth Robotic - LEO Science</v>
      </c>
      <c r="R19" s="88" t="str">
        <f>IF(DTE_Lifespans_existing!R19=1,Use_case_lifespans!$B19,0)</f>
        <v>Near Earth Robotic - LEO Science</v>
      </c>
      <c r="S19" s="88" t="str">
        <f>IF(DTE_Lifespans_existing!S19=1,Use_case_lifespans!$B19,0)</f>
        <v>Near Earth Robotic - LEO Science</v>
      </c>
      <c r="T19" s="88" t="str">
        <f>IF(DTE_Lifespans_existing!T19=1,Use_case_lifespans!$B19,0)</f>
        <v>Near Earth Robotic - LEO Science</v>
      </c>
      <c r="U19" s="88" t="str">
        <f>IF(DTE_Lifespans_existing!U19=1,Use_case_lifespans!$B19,0)</f>
        <v>Near Earth Robotic - LEO Science</v>
      </c>
      <c r="V19" s="88" t="str">
        <f>IF(DTE_Lifespans_existing!V19=1,Use_case_lifespans!$B19,0)</f>
        <v>Near Earth Robotic - LEO Science</v>
      </c>
    </row>
    <row r="20" spans="1:22" x14ac:dyDescent="0.3">
      <c r="A20" s="32" t="s">
        <v>21</v>
      </c>
      <c r="B20" s="33" t="s">
        <v>41</v>
      </c>
      <c r="C20" s="88" t="str">
        <f>IF(DTE_Lifespans_existing!C20=1,Use_case_lifespans!$B20,0)</f>
        <v>Near Earth Robotic - LEO Science</v>
      </c>
      <c r="D20" s="88" t="str">
        <f>IF(DTE_Lifespans_existing!D20=1,Use_case_lifespans!$B20,0)</f>
        <v>Near Earth Robotic - LEO Science</v>
      </c>
      <c r="E20" s="88" t="str">
        <f>IF(DTE_Lifespans_existing!E20=1,Use_case_lifespans!$B20,0)</f>
        <v>Near Earth Robotic - LEO Science</v>
      </c>
      <c r="F20" s="88" t="str">
        <f>IF(DTE_Lifespans_existing!F20=1,Use_case_lifespans!$B20,0)</f>
        <v>Near Earth Robotic - LEO Science</v>
      </c>
      <c r="G20" s="88" t="str">
        <f>IF(DTE_Lifespans_existing!G20=1,Use_case_lifespans!$B20,0)</f>
        <v>Near Earth Robotic - LEO Science</v>
      </c>
      <c r="H20" s="88">
        <f>IF(DTE_Lifespans_existing!H20=1,Use_case_lifespans!$B20,0)</f>
        <v>0</v>
      </c>
      <c r="I20" s="88">
        <f>IF(DTE_Lifespans_existing!I20=1,Use_case_lifespans!$B20,0)</f>
        <v>0</v>
      </c>
      <c r="J20" s="88">
        <f>IF(DTE_Lifespans_existing!J20=1,Use_case_lifespans!$B20,0)</f>
        <v>0</v>
      </c>
      <c r="K20" s="88">
        <f>IF(DTE_Lifespans_existing!K20=1,Use_case_lifespans!$B20,0)</f>
        <v>0</v>
      </c>
      <c r="L20" s="88">
        <f>IF(DTE_Lifespans_existing!L20=1,Use_case_lifespans!$B20,0)</f>
        <v>0</v>
      </c>
      <c r="M20" s="88">
        <f>IF(DTE_Lifespans_existing!M20=1,Use_case_lifespans!$B20,0)</f>
        <v>0</v>
      </c>
      <c r="N20" s="88">
        <f>IF(DTE_Lifespans_existing!N20=1,Use_case_lifespans!$B20,0)</f>
        <v>0</v>
      </c>
      <c r="O20" s="88">
        <f>IF(DTE_Lifespans_existing!O20=1,Use_case_lifespans!$B20,0)</f>
        <v>0</v>
      </c>
      <c r="P20" s="88">
        <f>IF(DTE_Lifespans_existing!P20=1,Use_case_lifespans!$B20,0)</f>
        <v>0</v>
      </c>
      <c r="Q20" s="88">
        <f>IF(DTE_Lifespans_existing!Q20=1,Use_case_lifespans!$B20,0)</f>
        <v>0</v>
      </c>
      <c r="R20" s="88">
        <f>IF(DTE_Lifespans_existing!R20=1,Use_case_lifespans!$B20,0)</f>
        <v>0</v>
      </c>
      <c r="S20" s="88">
        <f>IF(DTE_Lifespans_existing!S20=1,Use_case_lifespans!$B20,0)</f>
        <v>0</v>
      </c>
      <c r="T20" s="88">
        <f>IF(DTE_Lifespans_existing!T20=1,Use_case_lifespans!$B20,0)</f>
        <v>0</v>
      </c>
      <c r="U20" s="88">
        <f>IF(DTE_Lifespans_existing!U20=1,Use_case_lifespans!$B20,0)</f>
        <v>0</v>
      </c>
      <c r="V20" s="88">
        <f>IF(DTE_Lifespans_existing!V20=1,Use_case_lifespans!$B20,0)</f>
        <v>0</v>
      </c>
    </row>
    <row r="21" spans="1:22" x14ac:dyDescent="0.3">
      <c r="A21" s="32" t="s">
        <v>24</v>
      </c>
      <c r="B21" s="45" t="s">
        <v>42</v>
      </c>
      <c r="C21" s="88">
        <f>IF(DTE_Lifespans_existing!C21=1,Use_case_lifespans!$B21,0)</f>
        <v>0</v>
      </c>
      <c r="D21" s="88">
        <f>IF(DTE_Lifespans_existing!D21=1,Use_case_lifespans!$B21,0)</f>
        <v>0</v>
      </c>
      <c r="E21" s="88">
        <f>IF(DTE_Lifespans_existing!E21=1,Use_case_lifespans!$B21,0)</f>
        <v>0</v>
      </c>
      <c r="F21" s="88">
        <f>IF(DTE_Lifespans_existing!F21=1,Use_case_lifespans!$B21,0)</f>
        <v>0</v>
      </c>
      <c r="G21" s="88">
        <f>IF(DTE_Lifespans_existing!G21=1,Use_case_lifespans!$B21,0)</f>
        <v>0</v>
      </c>
      <c r="H21" s="88">
        <f>IF(DTE_Lifespans_existing!H21=1,Use_case_lifespans!$B21,0)</f>
        <v>0</v>
      </c>
      <c r="I21" s="88">
        <f>IF(DTE_Lifespans_existing!I21=1,Use_case_lifespans!$B21,0)</f>
        <v>0</v>
      </c>
      <c r="J21" s="88">
        <f>IF(DTE_Lifespans_existing!J21=1,Use_case_lifespans!$B21,0)</f>
        <v>0</v>
      </c>
      <c r="K21" s="88">
        <f>IF(DTE_Lifespans_existing!K21=1,Use_case_lifespans!$B21,0)</f>
        <v>0</v>
      </c>
      <c r="L21" s="88">
        <f>IF(DTE_Lifespans_existing!L21=1,Use_case_lifespans!$B21,0)</f>
        <v>0</v>
      </c>
      <c r="M21" s="88">
        <f>IF(DTE_Lifespans_existing!M21=1,Use_case_lifespans!$B21,0)</f>
        <v>0</v>
      </c>
      <c r="N21" s="88">
        <f>IF(DTE_Lifespans_existing!N21=1,Use_case_lifespans!$B21,0)</f>
        <v>0</v>
      </c>
      <c r="O21" s="88">
        <f>IF(DTE_Lifespans_existing!O21=1,Use_case_lifespans!$B21,0)</f>
        <v>0</v>
      </c>
      <c r="P21" s="88">
        <f>IF(DTE_Lifespans_existing!P21=1,Use_case_lifespans!$B21,0)</f>
        <v>0</v>
      </c>
      <c r="Q21" s="88">
        <f>IF(DTE_Lifespans_existing!Q21=1,Use_case_lifespans!$B21,0)</f>
        <v>0</v>
      </c>
      <c r="R21" s="88">
        <f>IF(DTE_Lifespans_existing!R21=1,Use_case_lifespans!$B21,0)</f>
        <v>0</v>
      </c>
      <c r="S21" s="88">
        <f>IF(DTE_Lifespans_existing!S21=1,Use_case_lifespans!$B21,0)</f>
        <v>0</v>
      </c>
      <c r="T21" s="88">
        <f>IF(DTE_Lifespans_existing!T21=1,Use_case_lifespans!$B21,0)</f>
        <v>0</v>
      </c>
      <c r="U21" s="88">
        <f>IF(DTE_Lifespans_existing!U21=1,Use_case_lifespans!$B21,0)</f>
        <v>0</v>
      </c>
      <c r="V21" s="88">
        <f>IF(DTE_Lifespans_existing!V21=1,Use_case_lifespans!$B21,0)</f>
        <v>0</v>
      </c>
    </row>
    <row r="22" spans="1:22" x14ac:dyDescent="0.3">
      <c r="A22" s="32" t="s">
        <v>57</v>
      </c>
      <c r="B22" s="33" t="s">
        <v>41</v>
      </c>
      <c r="C22" s="88" t="str">
        <f>IF(DTE_Lifespans_existing!C22=1,Use_case_lifespans!$B22,0)</f>
        <v>Near Earth Robotic - LEO Science</v>
      </c>
      <c r="D22" s="88" t="str">
        <f>IF(DTE_Lifespans_existing!D22=1,Use_case_lifespans!$B22,0)</f>
        <v>Near Earth Robotic - LEO Science</v>
      </c>
      <c r="E22" s="88" t="str">
        <f>IF(DTE_Lifespans_existing!E22=1,Use_case_lifespans!$B22,0)</f>
        <v>Near Earth Robotic - LEO Science</v>
      </c>
      <c r="F22" s="88" t="str">
        <f>IF(DTE_Lifespans_existing!F22=1,Use_case_lifespans!$B22,0)</f>
        <v>Near Earth Robotic - LEO Science</v>
      </c>
      <c r="G22" s="88" t="str">
        <f>IF(DTE_Lifespans_existing!G22=1,Use_case_lifespans!$B22,0)</f>
        <v>Near Earth Robotic - LEO Science</v>
      </c>
      <c r="H22" s="88">
        <f>IF(DTE_Lifespans_existing!H22=1,Use_case_lifespans!$B22,0)</f>
        <v>0</v>
      </c>
      <c r="I22" s="88">
        <f>IF(DTE_Lifespans_existing!I22=1,Use_case_lifespans!$B22,0)</f>
        <v>0</v>
      </c>
      <c r="J22" s="88">
        <f>IF(DTE_Lifespans_existing!J22=1,Use_case_lifespans!$B22,0)</f>
        <v>0</v>
      </c>
      <c r="K22" s="88">
        <f>IF(DTE_Lifespans_existing!K22=1,Use_case_lifespans!$B22,0)</f>
        <v>0</v>
      </c>
      <c r="L22" s="88">
        <f>IF(DTE_Lifespans_existing!L22=1,Use_case_lifespans!$B22,0)</f>
        <v>0</v>
      </c>
      <c r="M22" s="88">
        <f>IF(DTE_Lifespans_existing!M22=1,Use_case_lifespans!$B22,0)</f>
        <v>0</v>
      </c>
      <c r="N22" s="88">
        <f>IF(DTE_Lifespans_existing!N22=1,Use_case_lifespans!$B22,0)</f>
        <v>0</v>
      </c>
      <c r="O22" s="88">
        <f>IF(DTE_Lifespans_existing!O22=1,Use_case_lifespans!$B22,0)</f>
        <v>0</v>
      </c>
      <c r="P22" s="88">
        <f>IF(DTE_Lifespans_existing!P22=1,Use_case_lifespans!$B22,0)</f>
        <v>0</v>
      </c>
      <c r="Q22" s="88">
        <f>IF(DTE_Lifespans_existing!Q22=1,Use_case_lifespans!$B22,0)</f>
        <v>0</v>
      </c>
      <c r="R22" s="88">
        <f>IF(DTE_Lifespans_existing!R22=1,Use_case_lifespans!$B22,0)</f>
        <v>0</v>
      </c>
      <c r="S22" s="88">
        <f>IF(DTE_Lifespans_existing!S22=1,Use_case_lifespans!$B22,0)</f>
        <v>0</v>
      </c>
      <c r="T22" s="88">
        <f>IF(DTE_Lifespans_existing!T22=1,Use_case_lifespans!$B22,0)</f>
        <v>0</v>
      </c>
      <c r="U22" s="88">
        <f>IF(DTE_Lifespans_existing!U22=1,Use_case_lifespans!$B22,0)</f>
        <v>0</v>
      </c>
      <c r="V22" s="88">
        <f>IF(DTE_Lifespans_existing!V22=1,Use_case_lifespans!$B22,0)</f>
        <v>0</v>
      </c>
    </row>
    <row r="23" spans="1:22" x14ac:dyDescent="0.3">
      <c r="A23" s="32" t="s">
        <v>22</v>
      </c>
      <c r="B23" s="33" t="s">
        <v>41</v>
      </c>
      <c r="C23" s="88" t="str">
        <f>IF(DTE_Lifespans_existing!C23=1,Use_case_lifespans!$B23,0)</f>
        <v>Near Earth Robotic - LEO Science</v>
      </c>
      <c r="D23" s="88" t="str">
        <f>IF(DTE_Lifespans_existing!D23=1,Use_case_lifespans!$B23,0)</f>
        <v>Near Earth Robotic - LEO Science</v>
      </c>
      <c r="E23" s="88" t="str">
        <f>IF(DTE_Lifespans_existing!E23=1,Use_case_lifespans!$B23,0)</f>
        <v>Near Earth Robotic - LEO Science</v>
      </c>
      <c r="F23" s="88" t="str">
        <f>IF(DTE_Lifespans_existing!F23=1,Use_case_lifespans!$B23,0)</f>
        <v>Near Earth Robotic - LEO Science</v>
      </c>
      <c r="G23" s="88">
        <f>IF(DTE_Lifespans_existing!G23=1,Use_case_lifespans!$B23,0)</f>
        <v>0</v>
      </c>
      <c r="H23" s="88">
        <f>IF(DTE_Lifespans_existing!H23=1,Use_case_lifespans!$B23,0)</f>
        <v>0</v>
      </c>
      <c r="I23" s="88">
        <f>IF(DTE_Lifespans_existing!I23=1,Use_case_lifespans!$B23,0)</f>
        <v>0</v>
      </c>
      <c r="J23" s="88">
        <f>IF(DTE_Lifespans_existing!J23=1,Use_case_lifespans!$B23,0)</f>
        <v>0</v>
      </c>
      <c r="K23" s="88">
        <f>IF(DTE_Lifespans_existing!K23=1,Use_case_lifespans!$B23,0)</f>
        <v>0</v>
      </c>
      <c r="L23" s="88">
        <f>IF(DTE_Lifespans_existing!L23=1,Use_case_lifespans!$B23,0)</f>
        <v>0</v>
      </c>
      <c r="M23" s="88">
        <f>IF(DTE_Lifespans_existing!M23=1,Use_case_lifespans!$B23,0)</f>
        <v>0</v>
      </c>
      <c r="N23" s="88">
        <f>IF(DTE_Lifespans_existing!N23=1,Use_case_lifespans!$B23,0)</f>
        <v>0</v>
      </c>
      <c r="O23" s="88">
        <f>IF(DTE_Lifespans_existing!O23=1,Use_case_lifespans!$B23,0)</f>
        <v>0</v>
      </c>
      <c r="P23" s="88">
        <f>IF(DTE_Lifespans_existing!P23=1,Use_case_lifespans!$B23,0)</f>
        <v>0</v>
      </c>
      <c r="Q23" s="88">
        <f>IF(DTE_Lifespans_existing!Q23=1,Use_case_lifespans!$B23,0)</f>
        <v>0</v>
      </c>
      <c r="R23" s="88">
        <f>IF(DTE_Lifespans_existing!R23=1,Use_case_lifespans!$B23,0)</f>
        <v>0</v>
      </c>
      <c r="S23" s="88">
        <f>IF(DTE_Lifespans_existing!S23=1,Use_case_lifespans!$B23,0)</f>
        <v>0</v>
      </c>
      <c r="T23" s="88">
        <f>IF(DTE_Lifespans_existing!T23=1,Use_case_lifespans!$B23,0)</f>
        <v>0</v>
      </c>
      <c r="U23" s="88">
        <f>IF(DTE_Lifespans_existing!U23=1,Use_case_lifespans!$B23,0)</f>
        <v>0</v>
      </c>
      <c r="V23" s="88">
        <f>IF(DTE_Lifespans_existing!V23=1,Use_case_lifespans!$B23,0)</f>
        <v>0</v>
      </c>
    </row>
    <row r="24" spans="1:22" x14ac:dyDescent="0.3">
      <c r="A24" s="32" t="s">
        <v>23</v>
      </c>
      <c r="B24" s="40" t="s">
        <v>43</v>
      </c>
      <c r="C24" s="88" t="str">
        <f>IF(DTE_Lifespans_existing!C24=1,Use_case_lifespans!$B24,0)</f>
        <v>Human Space Flight</v>
      </c>
      <c r="D24" s="88" t="str">
        <f>IF(DTE_Lifespans_existing!D24=1,Use_case_lifespans!$B24,0)</f>
        <v>Human Space Flight</v>
      </c>
      <c r="E24" s="88" t="str">
        <f>IF(DTE_Lifespans_existing!E24=1,Use_case_lifespans!$B24,0)</f>
        <v>Human Space Flight</v>
      </c>
      <c r="F24" s="88" t="str">
        <f>IF(DTE_Lifespans_existing!F24=1,Use_case_lifespans!$B24,0)</f>
        <v>Human Space Flight</v>
      </c>
      <c r="G24" s="88" t="str">
        <f>IF(DTE_Lifespans_existing!G24=1,Use_case_lifespans!$B24,0)</f>
        <v>Human Space Flight</v>
      </c>
      <c r="H24" s="88" t="str">
        <f>IF(DTE_Lifespans_existing!H24=1,Use_case_lifespans!$B24,0)</f>
        <v>Human Space Flight</v>
      </c>
      <c r="I24" s="88" t="str">
        <f>IF(DTE_Lifespans_existing!I24=1,Use_case_lifespans!$B24,0)</f>
        <v>Human Space Flight</v>
      </c>
      <c r="J24" s="88" t="str">
        <f>IF(DTE_Lifespans_existing!J24=1,Use_case_lifespans!$B24,0)</f>
        <v>Human Space Flight</v>
      </c>
      <c r="K24" s="88" t="str">
        <f>IF(DTE_Lifespans_existing!K24=1,Use_case_lifespans!$B24,0)</f>
        <v>Human Space Flight</v>
      </c>
      <c r="L24" s="88" t="str">
        <f>IF(DTE_Lifespans_existing!L24=1,Use_case_lifespans!$B24,0)</f>
        <v>Human Space Flight</v>
      </c>
      <c r="M24" s="88">
        <f>IF(DTE_Lifespans_existing!M24=1,Use_case_lifespans!$B24,0)</f>
        <v>0</v>
      </c>
      <c r="N24" s="88">
        <f>IF(DTE_Lifespans_existing!N24=1,Use_case_lifespans!$B24,0)</f>
        <v>0</v>
      </c>
      <c r="O24" s="88">
        <f>IF(DTE_Lifespans_existing!O24=1,Use_case_lifespans!$B24,0)</f>
        <v>0</v>
      </c>
      <c r="P24" s="88">
        <f>IF(DTE_Lifespans_existing!P24=1,Use_case_lifespans!$B24,0)</f>
        <v>0</v>
      </c>
      <c r="Q24" s="88">
        <f>IF(DTE_Lifespans_existing!Q24=1,Use_case_lifespans!$B24,0)</f>
        <v>0</v>
      </c>
      <c r="R24" s="88">
        <f>IF(DTE_Lifespans_existing!R24=1,Use_case_lifespans!$B24,0)</f>
        <v>0</v>
      </c>
      <c r="S24" s="88">
        <f>IF(DTE_Lifespans_existing!S24=1,Use_case_lifespans!$B24,0)</f>
        <v>0</v>
      </c>
      <c r="T24" s="88">
        <f>IF(DTE_Lifespans_existing!T24=1,Use_case_lifespans!$B24,0)</f>
        <v>0</v>
      </c>
      <c r="U24" s="88">
        <f>IF(DTE_Lifespans_existing!U24=1,Use_case_lifespans!$B24,0)</f>
        <v>0</v>
      </c>
      <c r="V24" s="88">
        <f>IF(DTE_Lifespans_existing!V24=1,Use_case_lifespans!$B24,0)</f>
        <v>0</v>
      </c>
    </row>
    <row r="25" spans="1:22" x14ac:dyDescent="0.3">
      <c r="A25" s="32" t="s">
        <v>25</v>
      </c>
      <c r="B25" s="33" t="s">
        <v>44</v>
      </c>
      <c r="C25" s="88" t="str">
        <f>IF(DTE_Lifespans_existing!C25=1,Use_case_lifespans!$B25,0)</f>
        <v>Near Earth Robotic - Low Latency &amp; Complex Needs</v>
      </c>
      <c r="D25" s="88" t="str">
        <f>IF(DTE_Lifespans_existing!D25=1,Use_case_lifespans!$B25,0)</f>
        <v>Near Earth Robotic - Low Latency &amp; Complex Needs</v>
      </c>
      <c r="E25" s="88" t="str">
        <f>IF(DTE_Lifespans_existing!E25=1,Use_case_lifespans!$B25,0)</f>
        <v>Near Earth Robotic - Low Latency &amp; Complex Needs</v>
      </c>
      <c r="F25" s="88" t="str">
        <f>IF(DTE_Lifespans_existing!F25=1,Use_case_lifespans!$B25,0)</f>
        <v>Near Earth Robotic - Low Latency &amp; Complex Needs</v>
      </c>
      <c r="G25" s="88">
        <f>IF(DTE_Lifespans_existing!G25=1,Use_case_lifespans!$B25,0)</f>
        <v>0</v>
      </c>
      <c r="H25" s="88">
        <f>IF(DTE_Lifespans_existing!H25=1,Use_case_lifespans!$B25,0)</f>
        <v>0</v>
      </c>
      <c r="I25" s="88">
        <f>IF(DTE_Lifespans_existing!I25=1,Use_case_lifespans!$B25,0)</f>
        <v>0</v>
      </c>
      <c r="J25" s="88">
        <f>IF(DTE_Lifespans_existing!J25=1,Use_case_lifespans!$B25,0)</f>
        <v>0</v>
      </c>
      <c r="K25" s="88">
        <f>IF(DTE_Lifespans_existing!K25=1,Use_case_lifespans!$B25,0)</f>
        <v>0</v>
      </c>
      <c r="L25" s="88">
        <f>IF(DTE_Lifespans_existing!L25=1,Use_case_lifespans!$B25,0)</f>
        <v>0</v>
      </c>
      <c r="M25" s="88">
        <f>IF(DTE_Lifespans_existing!M25=1,Use_case_lifespans!$B25,0)</f>
        <v>0</v>
      </c>
      <c r="N25" s="88">
        <f>IF(DTE_Lifespans_existing!N25=1,Use_case_lifespans!$B25,0)</f>
        <v>0</v>
      </c>
      <c r="O25" s="88">
        <f>IF(DTE_Lifespans_existing!O25=1,Use_case_lifespans!$B25,0)</f>
        <v>0</v>
      </c>
      <c r="P25" s="88">
        <f>IF(DTE_Lifespans_existing!P25=1,Use_case_lifespans!$B25,0)</f>
        <v>0</v>
      </c>
      <c r="Q25" s="88">
        <f>IF(DTE_Lifespans_existing!Q25=1,Use_case_lifespans!$B25,0)</f>
        <v>0</v>
      </c>
      <c r="R25" s="88">
        <f>IF(DTE_Lifespans_existing!R25=1,Use_case_lifespans!$B25,0)</f>
        <v>0</v>
      </c>
      <c r="S25" s="88">
        <f>IF(DTE_Lifespans_existing!S25=1,Use_case_lifespans!$B25,0)</f>
        <v>0</v>
      </c>
      <c r="T25" s="88">
        <f>IF(DTE_Lifespans_existing!T25=1,Use_case_lifespans!$B25,0)</f>
        <v>0</v>
      </c>
      <c r="U25" s="88">
        <f>IF(DTE_Lifespans_existing!U25=1,Use_case_lifespans!$B25,0)</f>
        <v>0</v>
      </c>
      <c r="V25" s="88">
        <f>IF(DTE_Lifespans_existing!V25=1,Use_case_lifespans!$B25,0)</f>
        <v>0</v>
      </c>
    </row>
    <row r="26" spans="1:22" x14ac:dyDescent="0.3">
      <c r="A26" s="32" t="s">
        <v>58</v>
      </c>
      <c r="B26" s="33" t="s">
        <v>41</v>
      </c>
      <c r="C26" s="88" t="str">
        <f>IF(DTE_Lifespans_existing!C26=1,Use_case_lifespans!$B26,0)</f>
        <v>Near Earth Robotic - LEO Science</v>
      </c>
      <c r="D26" s="88">
        <f>IF(DTE_Lifespans_existing!D26=1,Use_case_lifespans!$B26,0)</f>
        <v>0</v>
      </c>
      <c r="E26" s="88">
        <f>IF(DTE_Lifespans_existing!E26=1,Use_case_lifespans!$B26,0)</f>
        <v>0</v>
      </c>
      <c r="F26" s="88">
        <f>IF(DTE_Lifespans_existing!F26=1,Use_case_lifespans!$B26,0)</f>
        <v>0</v>
      </c>
      <c r="G26" s="88">
        <f>IF(DTE_Lifespans_existing!G26=1,Use_case_lifespans!$B26,0)</f>
        <v>0</v>
      </c>
      <c r="H26" s="88">
        <f>IF(DTE_Lifespans_existing!H26=1,Use_case_lifespans!$B26,0)</f>
        <v>0</v>
      </c>
      <c r="I26" s="88">
        <f>IF(DTE_Lifespans_existing!I26=1,Use_case_lifespans!$B26,0)</f>
        <v>0</v>
      </c>
      <c r="J26" s="88">
        <f>IF(DTE_Lifespans_existing!J26=1,Use_case_lifespans!$B26,0)</f>
        <v>0</v>
      </c>
      <c r="K26" s="88">
        <f>IF(DTE_Lifespans_existing!K26=1,Use_case_lifespans!$B26,0)</f>
        <v>0</v>
      </c>
      <c r="L26" s="88">
        <f>IF(DTE_Lifespans_existing!L26=1,Use_case_lifespans!$B26,0)</f>
        <v>0</v>
      </c>
      <c r="M26" s="88">
        <f>IF(DTE_Lifespans_existing!M26=1,Use_case_lifespans!$B26,0)</f>
        <v>0</v>
      </c>
      <c r="N26" s="88">
        <f>IF(DTE_Lifespans_existing!N26=1,Use_case_lifespans!$B26,0)</f>
        <v>0</v>
      </c>
      <c r="O26" s="88">
        <f>IF(DTE_Lifespans_existing!O26=1,Use_case_lifespans!$B26,0)</f>
        <v>0</v>
      </c>
      <c r="P26" s="88">
        <f>IF(DTE_Lifespans_existing!P26=1,Use_case_lifespans!$B26,0)</f>
        <v>0</v>
      </c>
      <c r="Q26" s="88">
        <f>IF(DTE_Lifespans_existing!Q26=1,Use_case_lifespans!$B26,0)</f>
        <v>0</v>
      </c>
      <c r="R26" s="88">
        <f>IF(DTE_Lifespans_existing!R26=1,Use_case_lifespans!$B26,0)</f>
        <v>0</v>
      </c>
      <c r="S26" s="88">
        <f>IF(DTE_Lifespans_existing!S26=1,Use_case_lifespans!$B26,0)</f>
        <v>0</v>
      </c>
      <c r="T26" s="88">
        <f>IF(DTE_Lifespans_existing!T26=1,Use_case_lifespans!$B26,0)</f>
        <v>0</v>
      </c>
      <c r="U26" s="88">
        <f>IF(DTE_Lifespans_existing!U26=1,Use_case_lifespans!$B26,0)</f>
        <v>0</v>
      </c>
      <c r="V26" s="88">
        <f>IF(DTE_Lifespans_existing!V26=1,Use_case_lifespans!$B26,0)</f>
        <v>0</v>
      </c>
    </row>
    <row r="27" spans="1:22" x14ac:dyDescent="0.3">
      <c r="A27" s="32" t="s">
        <v>59</v>
      </c>
      <c r="B27" s="33" t="s">
        <v>41</v>
      </c>
      <c r="C27" s="88" t="str">
        <f>IF(DTE_Lifespans_existing!C27=1,Use_case_lifespans!$B27,0)</f>
        <v>Near Earth Robotic - LEO Science</v>
      </c>
      <c r="D27" s="88" t="str">
        <f>IF(DTE_Lifespans_existing!D27=1,Use_case_lifespans!$B27,0)</f>
        <v>Near Earth Robotic - LEO Science</v>
      </c>
      <c r="E27" s="88" t="str">
        <f>IF(DTE_Lifespans_existing!E27=1,Use_case_lifespans!$B27,0)</f>
        <v>Near Earth Robotic - LEO Science</v>
      </c>
      <c r="F27" s="88">
        <f>IF(DTE_Lifespans_existing!F27=1,Use_case_lifespans!$B27,0)</f>
        <v>0</v>
      </c>
      <c r="G27" s="88">
        <f>IF(DTE_Lifespans_existing!G27=1,Use_case_lifespans!$B27,0)</f>
        <v>0</v>
      </c>
      <c r="H27" s="88">
        <f>IF(DTE_Lifespans_existing!H27=1,Use_case_lifespans!$B27,0)</f>
        <v>0</v>
      </c>
      <c r="I27" s="88">
        <f>IF(DTE_Lifespans_existing!I27=1,Use_case_lifespans!$B27,0)</f>
        <v>0</v>
      </c>
      <c r="J27" s="88">
        <f>IF(DTE_Lifespans_existing!J27=1,Use_case_lifespans!$B27,0)</f>
        <v>0</v>
      </c>
      <c r="K27" s="88">
        <f>IF(DTE_Lifespans_existing!K27=1,Use_case_lifespans!$B27,0)</f>
        <v>0</v>
      </c>
      <c r="L27" s="88">
        <f>IF(DTE_Lifespans_existing!L27=1,Use_case_lifespans!$B27,0)</f>
        <v>0</v>
      </c>
      <c r="M27" s="88">
        <f>IF(DTE_Lifespans_existing!M27=1,Use_case_lifespans!$B27,0)</f>
        <v>0</v>
      </c>
      <c r="N27" s="88">
        <f>IF(DTE_Lifespans_existing!N27=1,Use_case_lifespans!$B27,0)</f>
        <v>0</v>
      </c>
      <c r="O27" s="88">
        <f>IF(DTE_Lifespans_existing!O27=1,Use_case_lifespans!$B27,0)</f>
        <v>0</v>
      </c>
      <c r="P27" s="88">
        <f>IF(DTE_Lifespans_existing!P27=1,Use_case_lifespans!$B27,0)</f>
        <v>0</v>
      </c>
      <c r="Q27" s="88">
        <f>IF(DTE_Lifespans_existing!Q27=1,Use_case_lifespans!$B27,0)</f>
        <v>0</v>
      </c>
      <c r="R27" s="88">
        <f>IF(DTE_Lifespans_existing!R27=1,Use_case_lifespans!$B27,0)</f>
        <v>0</v>
      </c>
      <c r="S27" s="88">
        <f>IF(DTE_Lifespans_existing!S27=1,Use_case_lifespans!$B27,0)</f>
        <v>0</v>
      </c>
      <c r="T27" s="88">
        <f>IF(DTE_Lifespans_existing!T27=1,Use_case_lifespans!$B27,0)</f>
        <v>0</v>
      </c>
      <c r="U27" s="88">
        <f>IF(DTE_Lifespans_existing!U27=1,Use_case_lifespans!$B27,0)</f>
        <v>0</v>
      </c>
      <c r="V27" s="88">
        <f>IF(DTE_Lifespans_existing!V27=1,Use_case_lifespans!$B27,0)</f>
        <v>0</v>
      </c>
    </row>
    <row r="28" spans="1:22" x14ac:dyDescent="0.3">
      <c r="A28" s="32" t="s">
        <v>60</v>
      </c>
      <c r="B28" s="33" t="s">
        <v>41</v>
      </c>
      <c r="C28" s="88" t="str">
        <f>IF(DTE_Lifespans_existing!C28=1,Use_case_lifespans!$B28,0)</f>
        <v>Near Earth Robotic - LEO Science</v>
      </c>
      <c r="D28" s="88" t="str">
        <f>IF(DTE_Lifespans_existing!D28=1,Use_case_lifespans!$B28,0)</f>
        <v>Near Earth Robotic - LEO Science</v>
      </c>
      <c r="E28" s="88" t="str">
        <f>IF(DTE_Lifespans_existing!E28=1,Use_case_lifespans!$B28,0)</f>
        <v>Near Earth Robotic - LEO Science</v>
      </c>
      <c r="F28" s="88" t="str">
        <f>IF(DTE_Lifespans_existing!F28=1,Use_case_lifespans!$B28,0)</f>
        <v>Near Earth Robotic - LEO Science</v>
      </c>
      <c r="G28" s="88" t="str">
        <f>IF(DTE_Lifespans_existing!G28=1,Use_case_lifespans!$B28,0)</f>
        <v>Near Earth Robotic - LEO Science</v>
      </c>
      <c r="H28" s="88" t="str">
        <f>IF(DTE_Lifespans_existing!H28=1,Use_case_lifespans!$B28,0)</f>
        <v>Near Earth Robotic - LEO Science</v>
      </c>
      <c r="I28" s="88">
        <f>IF(DTE_Lifespans_existing!I28=1,Use_case_lifespans!$B28,0)</f>
        <v>0</v>
      </c>
      <c r="J28" s="88">
        <f>IF(DTE_Lifespans_existing!J28=1,Use_case_lifespans!$B28,0)</f>
        <v>0</v>
      </c>
      <c r="K28" s="88">
        <f>IF(DTE_Lifespans_existing!K28=1,Use_case_lifespans!$B28,0)</f>
        <v>0</v>
      </c>
      <c r="L28" s="88">
        <f>IF(DTE_Lifespans_existing!L28=1,Use_case_lifespans!$B28,0)</f>
        <v>0</v>
      </c>
      <c r="M28" s="88">
        <f>IF(DTE_Lifespans_existing!M28=1,Use_case_lifespans!$B28,0)</f>
        <v>0</v>
      </c>
      <c r="N28" s="88">
        <f>IF(DTE_Lifespans_existing!N28=1,Use_case_lifespans!$B28,0)</f>
        <v>0</v>
      </c>
      <c r="O28" s="88">
        <f>IF(DTE_Lifespans_existing!O28=1,Use_case_lifespans!$B28,0)</f>
        <v>0</v>
      </c>
      <c r="P28" s="88">
        <f>IF(DTE_Lifespans_existing!P28=1,Use_case_lifespans!$B28,0)</f>
        <v>0</v>
      </c>
      <c r="Q28" s="88">
        <f>IF(DTE_Lifespans_existing!Q28=1,Use_case_lifespans!$B28,0)</f>
        <v>0</v>
      </c>
      <c r="R28" s="88">
        <f>IF(DTE_Lifespans_existing!R28=1,Use_case_lifespans!$B28,0)</f>
        <v>0</v>
      </c>
      <c r="S28" s="88">
        <f>IF(DTE_Lifespans_existing!S28=1,Use_case_lifespans!$B28,0)</f>
        <v>0</v>
      </c>
      <c r="T28" s="88">
        <f>IF(DTE_Lifespans_existing!T28=1,Use_case_lifespans!$B28,0)</f>
        <v>0</v>
      </c>
      <c r="U28" s="88">
        <f>IF(DTE_Lifespans_existing!U28=1,Use_case_lifespans!$B28,0)</f>
        <v>0</v>
      </c>
      <c r="V28" s="88">
        <f>IF(DTE_Lifespans_existing!V28=1,Use_case_lifespans!$B28,0)</f>
        <v>0</v>
      </c>
    </row>
    <row r="29" spans="1:22" x14ac:dyDescent="0.3">
      <c r="A29" s="32" t="s">
        <v>26</v>
      </c>
      <c r="B29" s="40" t="s">
        <v>45</v>
      </c>
      <c r="C29" s="88" t="str">
        <f>IF(DTE_Lifespans_existing!C29=1,Use_case_lifespans!$B29,0)</f>
        <v>Terrestrial &amp; Aerial</v>
      </c>
      <c r="D29" s="88" t="str">
        <f>IF(DTE_Lifespans_existing!D29=1,Use_case_lifespans!$B29,0)</f>
        <v>Terrestrial &amp; Aerial</v>
      </c>
      <c r="E29" s="88" t="str">
        <f>IF(DTE_Lifespans_existing!E29=1,Use_case_lifespans!$B29,0)</f>
        <v>Terrestrial &amp; Aerial</v>
      </c>
      <c r="F29" s="88" t="str">
        <f>IF(DTE_Lifespans_existing!F29=1,Use_case_lifespans!$B29,0)</f>
        <v>Terrestrial &amp; Aerial</v>
      </c>
      <c r="G29" s="88" t="str">
        <f>IF(DTE_Lifespans_existing!G29=1,Use_case_lifespans!$B29,0)</f>
        <v>Terrestrial &amp; Aerial</v>
      </c>
      <c r="H29" s="88" t="str">
        <f>IF(DTE_Lifespans_existing!H29=1,Use_case_lifespans!$B29,0)</f>
        <v>Terrestrial &amp; Aerial</v>
      </c>
      <c r="I29" s="88" t="str">
        <f>IF(DTE_Lifespans_existing!I29=1,Use_case_lifespans!$B29,0)</f>
        <v>Terrestrial &amp; Aerial</v>
      </c>
      <c r="J29" s="88" t="str">
        <f>IF(DTE_Lifespans_existing!J29=1,Use_case_lifespans!$B29,0)</f>
        <v>Terrestrial &amp; Aerial</v>
      </c>
      <c r="K29" s="88" t="str">
        <f>IF(DTE_Lifespans_existing!K29=1,Use_case_lifespans!$B29,0)</f>
        <v>Terrestrial &amp; Aerial</v>
      </c>
      <c r="L29" s="88" t="str">
        <f>IF(DTE_Lifespans_existing!L29=1,Use_case_lifespans!$B29,0)</f>
        <v>Terrestrial &amp; Aerial</v>
      </c>
      <c r="M29" s="88" t="str">
        <f>IF(DTE_Lifespans_existing!M29=1,Use_case_lifespans!$B29,0)</f>
        <v>Terrestrial &amp; Aerial</v>
      </c>
      <c r="N29" s="88" t="str">
        <f>IF(DTE_Lifespans_existing!N29=1,Use_case_lifespans!$B29,0)</f>
        <v>Terrestrial &amp; Aerial</v>
      </c>
      <c r="O29" s="88" t="str">
        <f>IF(DTE_Lifespans_existing!O29=1,Use_case_lifespans!$B29,0)</f>
        <v>Terrestrial &amp; Aerial</v>
      </c>
      <c r="P29" s="88" t="str">
        <f>IF(DTE_Lifespans_existing!P29=1,Use_case_lifespans!$B29,0)</f>
        <v>Terrestrial &amp; Aerial</v>
      </c>
      <c r="Q29" s="88" t="str">
        <f>IF(DTE_Lifespans_existing!Q29=1,Use_case_lifespans!$B29,0)</f>
        <v>Terrestrial &amp; Aerial</v>
      </c>
      <c r="R29" s="88" t="str">
        <f>IF(DTE_Lifespans_existing!R29=1,Use_case_lifespans!$B29,0)</f>
        <v>Terrestrial &amp; Aerial</v>
      </c>
      <c r="S29" s="88" t="str">
        <f>IF(DTE_Lifespans_existing!S29=1,Use_case_lifespans!$B29,0)</f>
        <v>Terrestrial &amp; Aerial</v>
      </c>
      <c r="T29" s="88" t="str">
        <f>IF(DTE_Lifespans_existing!T29=1,Use_case_lifespans!$B29,0)</f>
        <v>Terrestrial &amp; Aerial</v>
      </c>
      <c r="U29" s="88" t="str">
        <f>IF(DTE_Lifespans_existing!U29=1,Use_case_lifespans!$B29,0)</f>
        <v>Terrestrial &amp; Aerial</v>
      </c>
      <c r="V29" s="88" t="str">
        <f>IF(DTE_Lifespans_existing!V29=1,Use_case_lifespans!$B29,0)</f>
        <v>Terrestrial &amp; Aerial</v>
      </c>
    </row>
    <row r="30" spans="1:22" x14ac:dyDescent="0.3">
      <c r="A30" s="32" t="s">
        <v>61</v>
      </c>
      <c r="B30" s="40" t="s">
        <v>42</v>
      </c>
      <c r="C30" s="88" t="str">
        <f>IF(DTE_Lifespans_existing!C30=1,Use_case_lifespans!$B30,0)</f>
        <v>Launch Events</v>
      </c>
      <c r="D30" s="88" t="str">
        <f>IF(DTE_Lifespans_existing!D30=1,Use_case_lifespans!$B30,0)</f>
        <v>Launch Events</v>
      </c>
      <c r="E30" s="88" t="str">
        <f>IF(DTE_Lifespans_existing!E30=1,Use_case_lifespans!$B30,0)</f>
        <v>Launch Events</v>
      </c>
      <c r="F30" s="88" t="str">
        <f>IF(DTE_Lifespans_existing!F30=1,Use_case_lifespans!$B30,0)</f>
        <v>Launch Events</v>
      </c>
      <c r="G30" s="88" t="str">
        <f>IF(DTE_Lifespans_existing!G30=1,Use_case_lifespans!$B30,0)</f>
        <v>Launch Events</v>
      </c>
      <c r="H30" s="88" t="str">
        <f>IF(DTE_Lifespans_existing!H30=1,Use_case_lifespans!$B30,0)</f>
        <v>Launch Events</v>
      </c>
      <c r="I30" s="88" t="str">
        <f>IF(DTE_Lifespans_existing!I30=1,Use_case_lifespans!$B30,0)</f>
        <v>Launch Events</v>
      </c>
      <c r="J30" s="88" t="str">
        <f>IF(DTE_Lifespans_existing!J30=1,Use_case_lifespans!$B30,0)</f>
        <v>Launch Events</v>
      </c>
      <c r="K30" s="88" t="str">
        <f>IF(DTE_Lifespans_existing!K30=1,Use_case_lifespans!$B30,0)</f>
        <v>Launch Events</v>
      </c>
      <c r="L30" s="88" t="str">
        <f>IF(DTE_Lifespans_existing!L30=1,Use_case_lifespans!$B30,0)</f>
        <v>Launch Events</v>
      </c>
      <c r="M30" s="88" t="str">
        <f>IF(DTE_Lifespans_existing!M30=1,Use_case_lifespans!$B30,0)</f>
        <v>Launch Events</v>
      </c>
      <c r="N30" s="88" t="str">
        <f>IF(DTE_Lifespans_existing!N30=1,Use_case_lifespans!$B30,0)</f>
        <v>Launch Events</v>
      </c>
      <c r="O30" s="88" t="str">
        <f>IF(DTE_Lifespans_existing!O30=1,Use_case_lifespans!$B30,0)</f>
        <v>Launch Events</v>
      </c>
      <c r="P30" s="88" t="str">
        <f>IF(DTE_Lifespans_existing!P30=1,Use_case_lifespans!$B30,0)</f>
        <v>Launch Events</v>
      </c>
      <c r="Q30" s="88" t="str">
        <f>IF(DTE_Lifespans_existing!Q30=1,Use_case_lifespans!$B30,0)</f>
        <v>Launch Events</v>
      </c>
      <c r="R30" s="88" t="str">
        <f>IF(DTE_Lifespans_existing!R30=1,Use_case_lifespans!$B30,0)</f>
        <v>Launch Events</v>
      </c>
      <c r="S30" s="88" t="str">
        <f>IF(DTE_Lifespans_existing!S30=1,Use_case_lifespans!$B30,0)</f>
        <v>Launch Events</v>
      </c>
      <c r="T30" s="88" t="str">
        <f>IF(DTE_Lifespans_existing!T30=1,Use_case_lifespans!$B30,0)</f>
        <v>Launch Events</v>
      </c>
      <c r="U30" s="88" t="str">
        <f>IF(DTE_Lifespans_existing!U30=1,Use_case_lifespans!$B30,0)</f>
        <v>Launch Events</v>
      </c>
      <c r="V30" s="88" t="str">
        <f>IF(DTE_Lifespans_existing!V30=1,Use_case_lifespans!$B30,0)</f>
        <v>Launch Events</v>
      </c>
    </row>
    <row r="31" spans="1:22" x14ac:dyDescent="0.3">
      <c r="A31" s="32" t="s">
        <v>71</v>
      </c>
      <c r="B31" s="33" t="s">
        <v>40</v>
      </c>
      <c r="C31" s="88" t="str">
        <f>IF(DTE_Lifespans_existing!C31=1,Use_case_lifespans!$B31,0)</f>
        <v>Near Earth Robotic - GEO and Near Earth</v>
      </c>
      <c r="D31" s="88" t="str">
        <f>IF(DTE_Lifespans_existing!D31=1,Use_case_lifespans!$B31,0)</f>
        <v>Near Earth Robotic - GEO and Near Earth</v>
      </c>
      <c r="E31" s="88">
        <f>IF(DTE_Lifespans_existing!E31=1,Use_case_lifespans!$B31,0)</f>
        <v>0</v>
      </c>
      <c r="F31" s="88">
        <f>IF(DTE_Lifespans_existing!F31=1,Use_case_lifespans!$B31,0)</f>
        <v>0</v>
      </c>
      <c r="G31" s="88">
        <f>IF(DTE_Lifespans_existing!G31=1,Use_case_lifespans!$B31,0)</f>
        <v>0</v>
      </c>
      <c r="H31" s="88">
        <f>IF(DTE_Lifespans_existing!H31=1,Use_case_lifespans!$B31,0)</f>
        <v>0</v>
      </c>
      <c r="I31" s="88">
        <f>IF(DTE_Lifespans_existing!I31=1,Use_case_lifespans!$B31,0)</f>
        <v>0</v>
      </c>
      <c r="J31" s="88">
        <f>IF(DTE_Lifespans_existing!J31=1,Use_case_lifespans!$B31,0)</f>
        <v>0</v>
      </c>
      <c r="K31" s="88">
        <f>IF(DTE_Lifespans_existing!K31=1,Use_case_lifespans!$B31,0)</f>
        <v>0</v>
      </c>
      <c r="L31" s="88">
        <f>IF(DTE_Lifespans_existing!L31=1,Use_case_lifespans!$B31,0)</f>
        <v>0</v>
      </c>
      <c r="M31" s="88">
        <f>IF(DTE_Lifespans_existing!M31=1,Use_case_lifespans!$B31,0)</f>
        <v>0</v>
      </c>
      <c r="N31" s="88">
        <f>IF(DTE_Lifespans_existing!N31=1,Use_case_lifespans!$B31,0)</f>
        <v>0</v>
      </c>
      <c r="O31" s="88">
        <f>IF(DTE_Lifespans_existing!O31=1,Use_case_lifespans!$B31,0)</f>
        <v>0</v>
      </c>
      <c r="P31" s="88">
        <f>IF(DTE_Lifespans_existing!P31=1,Use_case_lifespans!$B31,0)</f>
        <v>0</v>
      </c>
      <c r="Q31" s="88">
        <f>IF(DTE_Lifespans_existing!Q31=1,Use_case_lifespans!$B31,0)</f>
        <v>0</v>
      </c>
      <c r="R31" s="88">
        <f>IF(DTE_Lifespans_existing!R31=1,Use_case_lifespans!$B31,0)</f>
        <v>0</v>
      </c>
      <c r="S31" s="88">
        <f>IF(DTE_Lifespans_existing!S31=1,Use_case_lifespans!$B31,0)</f>
        <v>0</v>
      </c>
      <c r="T31" s="88">
        <f>IF(DTE_Lifespans_existing!T31=1,Use_case_lifespans!$B31,0)</f>
        <v>0</v>
      </c>
      <c r="U31" s="88">
        <f>IF(DTE_Lifespans_existing!U31=1,Use_case_lifespans!$B31,0)</f>
        <v>0</v>
      </c>
      <c r="V31" s="88">
        <f>IF(DTE_Lifespans_existing!V31=1,Use_case_lifespans!$B31,0)</f>
        <v>0</v>
      </c>
    </row>
    <row r="32" spans="1:22" x14ac:dyDescent="0.3">
      <c r="A32" s="32" t="s">
        <v>27</v>
      </c>
      <c r="B32" s="40" t="s">
        <v>45</v>
      </c>
      <c r="C32" s="88" t="str">
        <f>IF(DTE_Lifespans_existing!C32=1,Use_case_lifespans!$B32,0)</f>
        <v>Terrestrial &amp; Aerial</v>
      </c>
      <c r="D32" s="88">
        <f>IF(DTE_Lifespans_existing!D32=1,Use_case_lifespans!$B32,0)</f>
        <v>0</v>
      </c>
      <c r="E32" s="88">
        <f>IF(DTE_Lifespans_existing!E32=1,Use_case_lifespans!$B32,0)</f>
        <v>0</v>
      </c>
      <c r="F32" s="88">
        <f>IF(DTE_Lifespans_existing!F32=1,Use_case_lifespans!$B32,0)</f>
        <v>0</v>
      </c>
      <c r="G32" s="88">
        <f>IF(DTE_Lifespans_existing!G32=1,Use_case_lifespans!$B32,0)</f>
        <v>0</v>
      </c>
      <c r="H32" s="88">
        <f>IF(DTE_Lifespans_existing!H32=1,Use_case_lifespans!$B32,0)</f>
        <v>0</v>
      </c>
      <c r="I32" s="88">
        <f>IF(DTE_Lifespans_existing!I32=1,Use_case_lifespans!$B32,0)</f>
        <v>0</v>
      </c>
      <c r="J32" s="88">
        <f>IF(DTE_Lifespans_existing!J32=1,Use_case_lifespans!$B32,0)</f>
        <v>0</v>
      </c>
      <c r="K32" s="88">
        <f>IF(DTE_Lifespans_existing!K32=1,Use_case_lifespans!$B32,0)</f>
        <v>0</v>
      </c>
      <c r="L32" s="88">
        <f>IF(DTE_Lifespans_existing!L32=1,Use_case_lifespans!$B32,0)</f>
        <v>0</v>
      </c>
      <c r="M32" s="88">
        <f>IF(DTE_Lifespans_existing!M32=1,Use_case_lifespans!$B32,0)</f>
        <v>0</v>
      </c>
      <c r="N32" s="88">
        <f>IF(DTE_Lifespans_existing!N32=1,Use_case_lifespans!$B32,0)</f>
        <v>0</v>
      </c>
      <c r="O32" s="88">
        <f>IF(DTE_Lifespans_existing!O32=1,Use_case_lifespans!$B32,0)</f>
        <v>0</v>
      </c>
      <c r="P32" s="88">
        <f>IF(DTE_Lifespans_existing!P32=1,Use_case_lifespans!$B32,0)</f>
        <v>0</v>
      </c>
      <c r="Q32" s="88">
        <f>IF(DTE_Lifespans_existing!Q32=1,Use_case_lifespans!$B32,0)</f>
        <v>0</v>
      </c>
      <c r="R32" s="88">
        <f>IF(DTE_Lifespans_existing!R32=1,Use_case_lifespans!$B32,0)</f>
        <v>0</v>
      </c>
      <c r="S32" s="88">
        <f>IF(DTE_Lifespans_existing!S32=1,Use_case_lifespans!$B32,0)</f>
        <v>0</v>
      </c>
      <c r="T32" s="88">
        <f>IF(DTE_Lifespans_existing!T32=1,Use_case_lifespans!$B32,0)</f>
        <v>0</v>
      </c>
      <c r="U32" s="88">
        <f>IF(DTE_Lifespans_existing!U32=1,Use_case_lifespans!$B32,0)</f>
        <v>0</v>
      </c>
      <c r="V32" s="88">
        <f>IF(DTE_Lifespans_existing!V32=1,Use_case_lifespans!$B32,0)</f>
        <v>0</v>
      </c>
    </row>
    <row r="33" spans="1:22" x14ac:dyDescent="0.3">
      <c r="A33" s="32" t="s">
        <v>39</v>
      </c>
      <c r="B33" s="33" t="s">
        <v>41</v>
      </c>
      <c r="C33" s="88" t="str">
        <f>IF(DTE_Lifespans_existing!C33=1,Use_case_lifespans!$B33,0)</f>
        <v>Near Earth Robotic - LEO Science</v>
      </c>
      <c r="D33" s="88" t="str">
        <f>IF(DTE_Lifespans_existing!D33=1,Use_case_lifespans!$B33,0)</f>
        <v>Near Earth Robotic - LEO Science</v>
      </c>
      <c r="E33" s="88" t="str">
        <f>IF(DTE_Lifespans_existing!E33=1,Use_case_lifespans!$B33,0)</f>
        <v>Near Earth Robotic - LEO Science</v>
      </c>
      <c r="F33" s="88" t="str">
        <f>IF(DTE_Lifespans_existing!F33=1,Use_case_lifespans!$B33,0)</f>
        <v>Near Earth Robotic - LEO Science</v>
      </c>
      <c r="G33" s="88">
        <f>IF(DTE_Lifespans_existing!G33=1,Use_case_lifespans!$B33,0)</f>
        <v>0</v>
      </c>
      <c r="H33" s="88">
        <f>IF(DTE_Lifespans_existing!H33=1,Use_case_lifespans!$B33,0)</f>
        <v>0</v>
      </c>
      <c r="I33" s="88">
        <f>IF(DTE_Lifespans_existing!I33=1,Use_case_lifespans!$B33,0)</f>
        <v>0</v>
      </c>
      <c r="J33" s="88">
        <f>IF(DTE_Lifespans_existing!J33=1,Use_case_lifespans!$B33,0)</f>
        <v>0</v>
      </c>
      <c r="K33" s="88">
        <f>IF(DTE_Lifespans_existing!K33=1,Use_case_lifespans!$B33,0)</f>
        <v>0</v>
      </c>
      <c r="L33" s="88">
        <f>IF(DTE_Lifespans_existing!L33=1,Use_case_lifespans!$B33,0)</f>
        <v>0</v>
      </c>
      <c r="M33" s="88">
        <f>IF(DTE_Lifespans_existing!M33=1,Use_case_lifespans!$B33,0)</f>
        <v>0</v>
      </c>
      <c r="N33" s="88">
        <f>IF(DTE_Lifespans_existing!N33=1,Use_case_lifespans!$B33,0)</f>
        <v>0</v>
      </c>
      <c r="O33" s="88">
        <f>IF(DTE_Lifespans_existing!O33=1,Use_case_lifespans!$B33,0)</f>
        <v>0</v>
      </c>
      <c r="P33" s="88">
        <f>IF(DTE_Lifespans_existing!P33=1,Use_case_lifespans!$B33,0)</f>
        <v>0</v>
      </c>
      <c r="Q33" s="88">
        <f>IF(DTE_Lifespans_existing!Q33=1,Use_case_lifespans!$B33,0)</f>
        <v>0</v>
      </c>
      <c r="R33" s="88">
        <f>IF(DTE_Lifespans_existing!R33=1,Use_case_lifespans!$B33,0)</f>
        <v>0</v>
      </c>
      <c r="S33" s="88">
        <f>IF(DTE_Lifespans_existing!S33=1,Use_case_lifespans!$B33,0)</f>
        <v>0</v>
      </c>
      <c r="T33" s="88">
        <f>IF(DTE_Lifespans_existing!T33=1,Use_case_lifespans!$B33,0)</f>
        <v>0</v>
      </c>
      <c r="U33" s="88">
        <f>IF(DTE_Lifespans_existing!U33=1,Use_case_lifespans!$B33,0)</f>
        <v>0</v>
      </c>
      <c r="V33" s="88">
        <f>IF(DTE_Lifespans_existing!V33=1,Use_case_lifespans!$B33,0)</f>
        <v>0</v>
      </c>
    </row>
    <row r="34" spans="1:22" x14ac:dyDescent="0.3">
      <c r="A34" s="32" t="s">
        <v>28</v>
      </c>
      <c r="B34" s="32"/>
      <c r="C34" s="88">
        <f>IF(DTE_Lifespans_existing!C34=1,Use_case_lifespans!$B34,0)</f>
        <v>0</v>
      </c>
      <c r="D34" s="88">
        <f>IF(DTE_Lifespans_existing!D34=1,Use_case_lifespans!$B34,0)</f>
        <v>0</v>
      </c>
      <c r="E34" s="88">
        <f>IF(DTE_Lifespans_existing!E34=1,Use_case_lifespans!$B34,0)</f>
        <v>0</v>
      </c>
      <c r="F34" s="88">
        <f>IF(DTE_Lifespans_existing!F34=1,Use_case_lifespans!$B34,0)</f>
        <v>0</v>
      </c>
      <c r="G34" s="88">
        <f>IF(DTE_Lifespans_existing!G34=1,Use_case_lifespans!$B34,0)</f>
        <v>0</v>
      </c>
      <c r="H34" s="88">
        <f>IF(DTE_Lifespans_existing!H34=1,Use_case_lifespans!$B34,0)</f>
        <v>0</v>
      </c>
      <c r="I34" s="88">
        <f>IF(DTE_Lifespans_existing!I34=1,Use_case_lifespans!$B34,0)</f>
        <v>0</v>
      </c>
      <c r="J34" s="88">
        <f>IF(DTE_Lifespans_existing!J34=1,Use_case_lifespans!$B34,0)</f>
        <v>0</v>
      </c>
      <c r="K34" s="88">
        <f>IF(DTE_Lifespans_existing!K34=1,Use_case_lifespans!$B34,0)</f>
        <v>0</v>
      </c>
      <c r="L34" s="88">
        <f>IF(DTE_Lifespans_existing!L34=1,Use_case_lifespans!$B34,0)</f>
        <v>0</v>
      </c>
      <c r="M34" s="88">
        <f>IF(DTE_Lifespans_existing!M34=1,Use_case_lifespans!$B34,0)</f>
        <v>0</v>
      </c>
      <c r="N34" s="88">
        <f>IF(DTE_Lifespans_existing!N34=1,Use_case_lifespans!$B34,0)</f>
        <v>0</v>
      </c>
      <c r="O34" s="88">
        <f>IF(DTE_Lifespans_existing!O34=1,Use_case_lifespans!$B34,0)</f>
        <v>0</v>
      </c>
      <c r="P34" s="88">
        <f>IF(DTE_Lifespans_existing!P34=1,Use_case_lifespans!$B34,0)</f>
        <v>0</v>
      </c>
      <c r="Q34" s="88">
        <f>IF(DTE_Lifespans_existing!Q34=1,Use_case_lifespans!$B34,0)</f>
        <v>0</v>
      </c>
      <c r="R34" s="88">
        <f>IF(DTE_Lifespans_existing!R34=1,Use_case_lifespans!$B34,0)</f>
        <v>0</v>
      </c>
      <c r="S34" s="88">
        <f>IF(DTE_Lifespans_existing!S34=1,Use_case_lifespans!$B34,0)</f>
        <v>0</v>
      </c>
      <c r="T34" s="88">
        <f>IF(DTE_Lifespans_existing!T34=1,Use_case_lifespans!$B34,0)</f>
        <v>0</v>
      </c>
      <c r="U34" s="88">
        <f>IF(DTE_Lifespans_existing!U34=1,Use_case_lifespans!$B34,0)</f>
        <v>0</v>
      </c>
      <c r="V34" s="88">
        <f>IF(DTE_Lifespans_existing!V34=1,Use_case_lifespans!$B34,0)</f>
        <v>0</v>
      </c>
    </row>
    <row r="35" spans="1:22" x14ac:dyDescent="0.3">
      <c r="A35" s="32" t="s">
        <v>62</v>
      </c>
      <c r="B35" s="33" t="s">
        <v>41</v>
      </c>
      <c r="C35" s="88" t="str">
        <f>IF(DTE_Lifespans_existing!C35=1,Use_case_lifespans!$B35,0)</f>
        <v>Near Earth Robotic - LEO Science</v>
      </c>
      <c r="D35" s="88" t="str">
        <f>IF(DTE_Lifespans_existing!D35=1,Use_case_lifespans!$B35,0)</f>
        <v>Near Earth Robotic - LEO Science</v>
      </c>
      <c r="E35" s="88" t="str">
        <f>IF(DTE_Lifespans_existing!E35=1,Use_case_lifespans!$B35,0)</f>
        <v>Near Earth Robotic - LEO Science</v>
      </c>
      <c r="F35" s="88" t="str">
        <f>IF(DTE_Lifespans_existing!F35=1,Use_case_lifespans!$B35,0)</f>
        <v>Near Earth Robotic - LEO Science</v>
      </c>
      <c r="G35" s="88" t="str">
        <f>IF(DTE_Lifespans_existing!G35=1,Use_case_lifespans!$B35,0)</f>
        <v>Near Earth Robotic - LEO Science</v>
      </c>
      <c r="H35" s="88">
        <f>IF(DTE_Lifespans_existing!H35=1,Use_case_lifespans!$B35,0)</f>
        <v>0</v>
      </c>
      <c r="I35" s="88">
        <f>IF(DTE_Lifespans_existing!I35=1,Use_case_lifespans!$B35,0)</f>
        <v>0</v>
      </c>
      <c r="J35" s="88">
        <f>IF(DTE_Lifespans_existing!J35=1,Use_case_lifespans!$B35,0)</f>
        <v>0</v>
      </c>
      <c r="K35" s="88">
        <f>IF(DTE_Lifespans_existing!K35=1,Use_case_lifespans!$B35,0)</f>
        <v>0</v>
      </c>
      <c r="L35" s="88">
        <f>IF(DTE_Lifespans_existing!L35=1,Use_case_lifespans!$B35,0)</f>
        <v>0</v>
      </c>
      <c r="M35" s="88">
        <f>IF(DTE_Lifespans_existing!M35=1,Use_case_lifespans!$B35,0)</f>
        <v>0</v>
      </c>
      <c r="N35" s="88">
        <f>IF(DTE_Lifespans_existing!N35=1,Use_case_lifespans!$B35,0)</f>
        <v>0</v>
      </c>
      <c r="O35" s="88">
        <f>IF(DTE_Lifespans_existing!O35=1,Use_case_lifespans!$B35,0)</f>
        <v>0</v>
      </c>
      <c r="P35" s="88">
        <f>IF(DTE_Lifespans_existing!P35=1,Use_case_lifespans!$B35,0)</f>
        <v>0</v>
      </c>
      <c r="Q35" s="88">
        <f>IF(DTE_Lifespans_existing!Q35=1,Use_case_lifespans!$B35,0)</f>
        <v>0</v>
      </c>
      <c r="R35" s="88">
        <f>IF(DTE_Lifespans_existing!R35=1,Use_case_lifespans!$B35,0)</f>
        <v>0</v>
      </c>
      <c r="S35" s="88">
        <f>IF(DTE_Lifespans_existing!S35=1,Use_case_lifespans!$B35,0)</f>
        <v>0</v>
      </c>
      <c r="T35" s="88">
        <f>IF(DTE_Lifespans_existing!T35=1,Use_case_lifespans!$B35,0)</f>
        <v>0</v>
      </c>
      <c r="U35" s="88">
        <f>IF(DTE_Lifespans_existing!U35=1,Use_case_lifespans!$B35,0)</f>
        <v>0</v>
      </c>
      <c r="V35" s="88">
        <f>IF(DTE_Lifespans_existing!V35=1,Use_case_lifespans!$B35,0)</f>
        <v>0</v>
      </c>
    </row>
    <row r="36" spans="1:22" x14ac:dyDescent="0.3">
      <c r="A36" s="32" t="s">
        <v>29</v>
      </c>
      <c r="B36" s="33" t="s">
        <v>41</v>
      </c>
      <c r="C36" s="88" t="str">
        <f>IF(DTE_Lifespans_existing!C36=1,Use_case_lifespans!$B36,0)</f>
        <v>Near Earth Robotic - LEO Science</v>
      </c>
      <c r="D36" s="88" t="str">
        <f>IF(DTE_Lifespans_existing!D36=1,Use_case_lifespans!$B36,0)</f>
        <v>Near Earth Robotic - LEO Science</v>
      </c>
      <c r="E36" s="88" t="str">
        <f>IF(DTE_Lifespans_existing!E36=1,Use_case_lifespans!$B36,0)</f>
        <v>Near Earth Robotic - LEO Science</v>
      </c>
      <c r="F36" s="88">
        <f>IF(DTE_Lifespans_existing!F36=1,Use_case_lifespans!$B36,0)</f>
        <v>0</v>
      </c>
      <c r="G36" s="88">
        <f>IF(DTE_Lifespans_existing!G36=1,Use_case_lifespans!$B36,0)</f>
        <v>0</v>
      </c>
      <c r="H36" s="88">
        <f>IF(DTE_Lifespans_existing!H36=1,Use_case_lifespans!$B36,0)</f>
        <v>0</v>
      </c>
      <c r="I36" s="88">
        <f>IF(DTE_Lifespans_existing!I36=1,Use_case_lifespans!$B36,0)</f>
        <v>0</v>
      </c>
      <c r="J36" s="88">
        <f>IF(DTE_Lifespans_existing!J36=1,Use_case_lifespans!$B36,0)</f>
        <v>0</v>
      </c>
      <c r="K36" s="88">
        <f>IF(DTE_Lifespans_existing!K36=1,Use_case_lifespans!$B36,0)</f>
        <v>0</v>
      </c>
      <c r="L36" s="88">
        <f>IF(DTE_Lifespans_existing!L36=1,Use_case_lifespans!$B36,0)</f>
        <v>0</v>
      </c>
      <c r="M36" s="88">
        <f>IF(DTE_Lifespans_existing!M36=1,Use_case_lifespans!$B36,0)</f>
        <v>0</v>
      </c>
      <c r="N36" s="88">
        <f>IF(DTE_Lifespans_existing!N36=1,Use_case_lifespans!$B36,0)</f>
        <v>0</v>
      </c>
      <c r="O36" s="88">
        <f>IF(DTE_Lifespans_existing!O36=1,Use_case_lifespans!$B36,0)</f>
        <v>0</v>
      </c>
      <c r="P36" s="88">
        <f>IF(DTE_Lifespans_existing!P36=1,Use_case_lifespans!$B36,0)</f>
        <v>0</v>
      </c>
      <c r="Q36" s="88">
        <f>IF(DTE_Lifespans_existing!Q36=1,Use_case_lifespans!$B36,0)</f>
        <v>0</v>
      </c>
      <c r="R36" s="88">
        <f>IF(DTE_Lifespans_existing!R36=1,Use_case_lifespans!$B36,0)</f>
        <v>0</v>
      </c>
      <c r="S36" s="88">
        <f>IF(DTE_Lifespans_existing!S36=1,Use_case_lifespans!$B36,0)</f>
        <v>0</v>
      </c>
      <c r="T36" s="88">
        <f>IF(DTE_Lifespans_existing!T36=1,Use_case_lifespans!$B36,0)</f>
        <v>0</v>
      </c>
      <c r="U36" s="88">
        <f>IF(DTE_Lifespans_existing!U36=1,Use_case_lifespans!$B36,0)</f>
        <v>0</v>
      </c>
      <c r="V36" s="88">
        <f>IF(DTE_Lifespans_existing!V36=1,Use_case_lifespans!$B36,0)</f>
        <v>0</v>
      </c>
    </row>
    <row r="37" spans="1:22" x14ac:dyDescent="0.3">
      <c r="A37" s="32" t="s">
        <v>30</v>
      </c>
      <c r="B37" s="40" t="s">
        <v>43</v>
      </c>
      <c r="C37" s="88" t="str">
        <f>IF(DTE_Lifespans_existing!C37=1,Use_case_lifespans!$B37,0)</f>
        <v>Human Space Flight</v>
      </c>
      <c r="D37" s="88" t="str">
        <f>IF(DTE_Lifespans_existing!D37=1,Use_case_lifespans!$B37,0)</f>
        <v>Human Space Flight</v>
      </c>
      <c r="E37" s="88" t="str">
        <f>IF(DTE_Lifespans_existing!E37=1,Use_case_lifespans!$B37,0)</f>
        <v>Human Space Flight</v>
      </c>
      <c r="F37" s="88" t="str">
        <f>IF(DTE_Lifespans_existing!F37=1,Use_case_lifespans!$B37,0)</f>
        <v>Human Space Flight</v>
      </c>
      <c r="G37" s="88" t="str">
        <f>IF(DTE_Lifespans_existing!G37=1,Use_case_lifespans!$B37,0)</f>
        <v>Human Space Flight</v>
      </c>
      <c r="H37" s="88" t="str">
        <f>IF(DTE_Lifespans_existing!H37=1,Use_case_lifespans!$B37,0)</f>
        <v>Human Space Flight</v>
      </c>
      <c r="I37" s="88" t="str">
        <f>IF(DTE_Lifespans_existing!I37=1,Use_case_lifespans!$B37,0)</f>
        <v>Human Space Flight</v>
      </c>
      <c r="J37" s="88" t="str">
        <f>IF(DTE_Lifespans_existing!J37=1,Use_case_lifespans!$B37,0)</f>
        <v>Human Space Flight</v>
      </c>
      <c r="K37" s="88" t="str">
        <f>IF(DTE_Lifespans_existing!K37=1,Use_case_lifespans!$B37,0)</f>
        <v>Human Space Flight</v>
      </c>
      <c r="L37" s="88" t="str">
        <f>IF(DTE_Lifespans_existing!L37=1,Use_case_lifespans!$B37,0)</f>
        <v>Human Space Flight</v>
      </c>
      <c r="M37" s="88" t="str">
        <f>IF(DTE_Lifespans_existing!M37=1,Use_case_lifespans!$B37,0)</f>
        <v>Human Space Flight</v>
      </c>
      <c r="N37" s="88" t="str">
        <f>IF(DTE_Lifespans_existing!N37=1,Use_case_lifespans!$B37,0)</f>
        <v>Human Space Flight</v>
      </c>
      <c r="O37" s="88" t="str">
        <f>IF(DTE_Lifespans_existing!O37=1,Use_case_lifespans!$B37,0)</f>
        <v>Human Space Flight</v>
      </c>
      <c r="P37" s="88" t="str">
        <f>IF(DTE_Lifespans_existing!P37=1,Use_case_lifespans!$B37,0)</f>
        <v>Human Space Flight</v>
      </c>
      <c r="Q37" s="88" t="str">
        <f>IF(DTE_Lifespans_existing!Q37=1,Use_case_lifespans!$B37,0)</f>
        <v>Human Space Flight</v>
      </c>
      <c r="R37" s="88" t="str">
        <f>IF(DTE_Lifespans_existing!R37=1,Use_case_lifespans!$B37,0)</f>
        <v>Human Space Flight</v>
      </c>
      <c r="S37" s="88" t="str">
        <f>IF(DTE_Lifespans_existing!S37=1,Use_case_lifespans!$B37,0)</f>
        <v>Human Space Flight</v>
      </c>
      <c r="T37" s="88" t="str">
        <f>IF(DTE_Lifespans_existing!T37=1,Use_case_lifespans!$B37,0)</f>
        <v>Human Space Flight</v>
      </c>
      <c r="U37" s="88" t="str">
        <f>IF(DTE_Lifespans_existing!U37=1,Use_case_lifespans!$B37,0)</f>
        <v>Human Space Flight</v>
      </c>
      <c r="V37" s="88" t="str">
        <f>IF(DTE_Lifespans_existing!V37=1,Use_case_lifespans!$B37,0)</f>
        <v>Human Space Flight</v>
      </c>
    </row>
    <row r="38" spans="1:22" x14ac:dyDescent="0.3">
      <c r="A38" s="32" t="s">
        <v>31</v>
      </c>
      <c r="B38" s="41" t="s">
        <v>48</v>
      </c>
      <c r="C38" s="88">
        <f>IF(DTE_Lifespans_existing!C38=1,Use_case_lifespans!$B38,0)</f>
        <v>0</v>
      </c>
      <c r="D38" s="88">
        <f>IF(DTE_Lifespans_existing!D38=1,Use_case_lifespans!$B38,0)</f>
        <v>0</v>
      </c>
      <c r="E38" s="88">
        <f>IF(DTE_Lifespans_existing!E38=1,Use_case_lifespans!$B38,0)</f>
        <v>0</v>
      </c>
      <c r="F38" s="88">
        <f>IF(DTE_Lifespans_existing!F38=1,Use_case_lifespans!$B38,0)</f>
        <v>0</v>
      </c>
      <c r="G38" s="88">
        <f>IF(DTE_Lifespans_existing!G38=1,Use_case_lifespans!$B38,0)</f>
        <v>0</v>
      </c>
      <c r="H38" s="88">
        <f>IF(DTE_Lifespans_existing!H38=1,Use_case_lifespans!$B38,0)</f>
        <v>0</v>
      </c>
      <c r="I38" s="88">
        <f>IF(DTE_Lifespans_existing!I38=1,Use_case_lifespans!$B38,0)</f>
        <v>0</v>
      </c>
      <c r="J38" s="88">
        <f>IF(DTE_Lifespans_existing!J38=1,Use_case_lifespans!$B38,0)</f>
        <v>0</v>
      </c>
      <c r="K38" s="88">
        <f>IF(DTE_Lifespans_existing!K38=1,Use_case_lifespans!$B38,0)</f>
        <v>0</v>
      </c>
      <c r="L38" s="88">
        <f>IF(DTE_Lifespans_existing!L38=1,Use_case_lifespans!$B38,0)</f>
        <v>0</v>
      </c>
      <c r="M38" s="88">
        <f>IF(DTE_Lifespans_existing!M38=1,Use_case_lifespans!$B38,0)</f>
        <v>0</v>
      </c>
      <c r="N38" s="88">
        <f>IF(DTE_Lifespans_existing!N38=1,Use_case_lifespans!$B38,0)</f>
        <v>0</v>
      </c>
      <c r="O38" s="88">
        <f>IF(DTE_Lifespans_existing!O38=1,Use_case_lifespans!$B38,0)</f>
        <v>0</v>
      </c>
      <c r="P38" s="88">
        <f>IF(DTE_Lifespans_existing!P38=1,Use_case_lifespans!$B38,0)</f>
        <v>0</v>
      </c>
      <c r="Q38" s="88">
        <f>IF(DTE_Lifespans_existing!Q38=1,Use_case_lifespans!$B38,0)</f>
        <v>0</v>
      </c>
      <c r="R38" s="88">
        <f>IF(DTE_Lifespans_existing!R38=1,Use_case_lifespans!$B38,0)</f>
        <v>0</v>
      </c>
      <c r="S38" s="88">
        <f>IF(DTE_Lifespans_existing!S38=1,Use_case_lifespans!$B38,0)</f>
        <v>0</v>
      </c>
      <c r="T38" s="88">
        <f>IF(DTE_Lifespans_existing!T38=1,Use_case_lifespans!$B38,0)</f>
        <v>0</v>
      </c>
      <c r="U38" s="88">
        <f>IF(DTE_Lifespans_existing!U38=1,Use_case_lifespans!$B38,0)</f>
        <v>0</v>
      </c>
      <c r="V38" s="88">
        <f>IF(DTE_Lifespans_existing!V38=1,Use_case_lifespans!$B38,0)</f>
        <v>0</v>
      </c>
    </row>
    <row r="39" spans="1:22" x14ac:dyDescent="0.3">
      <c r="A39" s="32" t="s">
        <v>32</v>
      </c>
      <c r="B39" s="41" t="s">
        <v>48</v>
      </c>
      <c r="C39" s="88">
        <f>IF(DTE_Lifespans_existing!C39=1,Use_case_lifespans!$B39,0)</f>
        <v>0</v>
      </c>
      <c r="D39" s="88">
        <f>IF(DTE_Lifespans_existing!D39=1,Use_case_lifespans!$B39,0)</f>
        <v>0</v>
      </c>
      <c r="E39" s="88">
        <f>IF(DTE_Lifespans_existing!E39=1,Use_case_lifespans!$B39,0)</f>
        <v>0</v>
      </c>
      <c r="F39" s="88">
        <f>IF(DTE_Lifespans_existing!F39=1,Use_case_lifespans!$B39,0)</f>
        <v>0</v>
      </c>
      <c r="G39" s="88">
        <f>IF(DTE_Lifespans_existing!G39=1,Use_case_lifespans!$B39,0)</f>
        <v>0</v>
      </c>
      <c r="H39" s="88">
        <f>IF(DTE_Lifespans_existing!H39=1,Use_case_lifespans!$B39,0)</f>
        <v>0</v>
      </c>
      <c r="I39" s="88">
        <f>IF(DTE_Lifespans_existing!I39=1,Use_case_lifespans!$B39,0)</f>
        <v>0</v>
      </c>
      <c r="J39" s="88">
        <f>IF(DTE_Lifespans_existing!J39=1,Use_case_lifespans!$B39,0)</f>
        <v>0</v>
      </c>
      <c r="K39" s="88">
        <f>IF(DTE_Lifespans_existing!K39=1,Use_case_lifespans!$B39,0)</f>
        <v>0</v>
      </c>
      <c r="L39" s="88">
        <f>IF(DTE_Lifespans_existing!L39=1,Use_case_lifespans!$B39,0)</f>
        <v>0</v>
      </c>
      <c r="M39" s="88">
        <f>IF(DTE_Lifespans_existing!M39=1,Use_case_lifespans!$B39,0)</f>
        <v>0</v>
      </c>
      <c r="N39" s="88">
        <f>IF(DTE_Lifespans_existing!N39=1,Use_case_lifespans!$B39,0)</f>
        <v>0</v>
      </c>
      <c r="O39" s="88">
        <f>IF(DTE_Lifespans_existing!O39=1,Use_case_lifespans!$B39,0)</f>
        <v>0</v>
      </c>
      <c r="P39" s="88">
        <f>IF(DTE_Lifespans_existing!P39=1,Use_case_lifespans!$B39,0)</f>
        <v>0</v>
      </c>
      <c r="Q39" s="88">
        <f>IF(DTE_Lifespans_existing!Q39=1,Use_case_lifespans!$B39,0)</f>
        <v>0</v>
      </c>
      <c r="R39" s="88">
        <f>IF(DTE_Lifespans_existing!R39=1,Use_case_lifespans!$B39,0)</f>
        <v>0</v>
      </c>
      <c r="S39" s="88">
        <f>IF(DTE_Lifespans_existing!S39=1,Use_case_lifespans!$B39,0)</f>
        <v>0</v>
      </c>
      <c r="T39" s="88">
        <f>IF(DTE_Lifespans_existing!T39=1,Use_case_lifespans!$B39,0)</f>
        <v>0</v>
      </c>
      <c r="U39" s="88">
        <f>IF(DTE_Lifespans_existing!U39=1,Use_case_lifespans!$B39,0)</f>
        <v>0</v>
      </c>
      <c r="V39" s="88">
        <f>IF(DTE_Lifespans_existing!V39=1,Use_case_lifespans!$B39,0)</f>
        <v>0</v>
      </c>
    </row>
    <row r="40" spans="1:22" x14ac:dyDescent="0.3">
      <c r="A40" s="32" t="s">
        <v>33</v>
      </c>
      <c r="B40" s="33" t="s">
        <v>41</v>
      </c>
      <c r="C40" s="88">
        <f>IF(DTE_Lifespans_existing!C40=1,Use_case_lifespans!$B40,0)</f>
        <v>0</v>
      </c>
      <c r="D40" s="88">
        <f>IF(DTE_Lifespans_existing!D40=1,Use_case_lifespans!$B40,0)</f>
        <v>0</v>
      </c>
      <c r="E40" s="88">
        <f>IF(DTE_Lifespans_existing!E40=1,Use_case_lifespans!$B40,0)</f>
        <v>0</v>
      </c>
      <c r="F40" s="88">
        <f>IF(DTE_Lifespans_existing!F40=1,Use_case_lifespans!$B40,0)</f>
        <v>0</v>
      </c>
      <c r="G40" s="88">
        <f>IF(DTE_Lifespans_existing!G40=1,Use_case_lifespans!$B40,0)</f>
        <v>0</v>
      </c>
      <c r="H40" s="88">
        <f>IF(DTE_Lifespans_existing!H40=1,Use_case_lifespans!$B40,0)</f>
        <v>0</v>
      </c>
      <c r="I40" s="88">
        <f>IF(DTE_Lifespans_existing!I40=1,Use_case_lifespans!$B40,0)</f>
        <v>0</v>
      </c>
      <c r="J40" s="88">
        <f>IF(DTE_Lifespans_existing!J40=1,Use_case_lifespans!$B40,0)</f>
        <v>0</v>
      </c>
      <c r="K40" s="88">
        <f>IF(DTE_Lifespans_existing!K40=1,Use_case_lifespans!$B40,0)</f>
        <v>0</v>
      </c>
      <c r="L40" s="88">
        <f>IF(DTE_Lifespans_existing!L40=1,Use_case_lifespans!$B40,0)</f>
        <v>0</v>
      </c>
      <c r="M40" s="88">
        <f>IF(DTE_Lifespans_existing!M40=1,Use_case_lifespans!$B40,0)</f>
        <v>0</v>
      </c>
      <c r="N40" s="88">
        <f>IF(DTE_Lifespans_existing!N40=1,Use_case_lifespans!$B40,0)</f>
        <v>0</v>
      </c>
      <c r="O40" s="88">
        <f>IF(DTE_Lifespans_existing!O40=1,Use_case_lifespans!$B40,0)</f>
        <v>0</v>
      </c>
      <c r="P40" s="88">
        <f>IF(DTE_Lifespans_existing!P40=1,Use_case_lifespans!$B40,0)</f>
        <v>0</v>
      </c>
      <c r="Q40" s="88">
        <f>IF(DTE_Lifespans_existing!Q40=1,Use_case_lifespans!$B40,0)</f>
        <v>0</v>
      </c>
      <c r="R40" s="88">
        <f>IF(DTE_Lifespans_existing!R40=1,Use_case_lifespans!$B40,0)</f>
        <v>0</v>
      </c>
      <c r="S40" s="88">
        <f>IF(DTE_Lifespans_existing!S40=1,Use_case_lifespans!$B40,0)</f>
        <v>0</v>
      </c>
      <c r="T40" s="88">
        <f>IF(DTE_Lifespans_existing!T40=1,Use_case_lifespans!$B40,0)</f>
        <v>0</v>
      </c>
      <c r="U40" s="88">
        <f>IF(DTE_Lifespans_existing!U40=1,Use_case_lifespans!$B40,0)</f>
        <v>0</v>
      </c>
      <c r="V40" s="88">
        <f>IF(DTE_Lifespans_existing!V40=1,Use_case_lifespans!$B40,0)</f>
        <v>0</v>
      </c>
    </row>
    <row r="41" spans="1:22" x14ac:dyDescent="0.3">
      <c r="A41" s="32" t="s">
        <v>34</v>
      </c>
      <c r="B41" s="40" t="s">
        <v>45</v>
      </c>
      <c r="C41" s="88" t="str">
        <f>IF(DTE_Lifespans_existing!C41=1,Use_case_lifespans!$B41,0)</f>
        <v>Terrestrial &amp; Aerial</v>
      </c>
      <c r="D41" s="88" t="str">
        <f>IF(DTE_Lifespans_existing!D41=1,Use_case_lifespans!$B41,0)</f>
        <v>Terrestrial &amp; Aerial</v>
      </c>
      <c r="E41" s="88" t="str">
        <f>IF(DTE_Lifespans_existing!E41=1,Use_case_lifespans!$B41,0)</f>
        <v>Terrestrial &amp; Aerial</v>
      </c>
      <c r="F41" s="88" t="str">
        <f>IF(DTE_Lifespans_existing!F41=1,Use_case_lifespans!$B41,0)</f>
        <v>Terrestrial &amp; Aerial</v>
      </c>
      <c r="G41" s="88" t="str">
        <f>IF(DTE_Lifespans_existing!G41=1,Use_case_lifespans!$B41,0)</f>
        <v>Terrestrial &amp; Aerial</v>
      </c>
      <c r="H41" s="88">
        <f>IF(DTE_Lifespans_existing!H41=1,Use_case_lifespans!$B41,0)</f>
        <v>0</v>
      </c>
      <c r="I41" s="88">
        <f>IF(DTE_Lifespans_existing!I41=1,Use_case_lifespans!$B41,0)</f>
        <v>0</v>
      </c>
      <c r="J41" s="88">
        <f>IF(DTE_Lifespans_existing!J41=1,Use_case_lifespans!$B41,0)</f>
        <v>0</v>
      </c>
      <c r="K41" s="88">
        <f>IF(DTE_Lifespans_existing!K41=1,Use_case_lifespans!$B41,0)</f>
        <v>0</v>
      </c>
      <c r="L41" s="88">
        <f>IF(DTE_Lifespans_existing!L41=1,Use_case_lifespans!$B41,0)</f>
        <v>0</v>
      </c>
      <c r="M41" s="88">
        <f>IF(DTE_Lifespans_existing!M41=1,Use_case_lifespans!$B41,0)</f>
        <v>0</v>
      </c>
      <c r="N41" s="88">
        <f>IF(DTE_Lifespans_existing!N41=1,Use_case_lifespans!$B41,0)</f>
        <v>0</v>
      </c>
      <c r="O41" s="88">
        <f>IF(DTE_Lifespans_existing!O41=1,Use_case_lifespans!$B41,0)</f>
        <v>0</v>
      </c>
      <c r="P41" s="88">
        <f>IF(DTE_Lifespans_existing!P41=1,Use_case_lifespans!$B41,0)</f>
        <v>0</v>
      </c>
      <c r="Q41" s="88">
        <f>IF(DTE_Lifespans_existing!Q41=1,Use_case_lifespans!$B41,0)</f>
        <v>0</v>
      </c>
      <c r="R41" s="88">
        <f>IF(DTE_Lifespans_existing!R41=1,Use_case_lifespans!$B41,0)</f>
        <v>0</v>
      </c>
      <c r="S41" s="88">
        <f>IF(DTE_Lifespans_existing!S41=1,Use_case_lifespans!$B41,0)</f>
        <v>0</v>
      </c>
      <c r="T41" s="88">
        <f>IF(DTE_Lifespans_existing!T41=1,Use_case_lifespans!$B41,0)</f>
        <v>0</v>
      </c>
      <c r="U41" s="88">
        <f>IF(DTE_Lifespans_existing!U41=1,Use_case_lifespans!$B41,0)</f>
        <v>0</v>
      </c>
      <c r="V41" s="88">
        <f>IF(DTE_Lifespans_existing!V41=1,Use_case_lifespans!$B41,0)</f>
        <v>0</v>
      </c>
    </row>
    <row r="42" spans="1:22" x14ac:dyDescent="0.3">
      <c r="A42" s="32" t="s">
        <v>63</v>
      </c>
      <c r="B42" s="40" t="s">
        <v>43</v>
      </c>
      <c r="C42" s="88" t="str">
        <f>IF(DTE_Lifespans_existing!C42=1,Use_case_lifespans!$B42,0)</f>
        <v>Human Space Flight</v>
      </c>
      <c r="D42" s="88" t="str">
        <f>IF(DTE_Lifespans_existing!D42=1,Use_case_lifespans!$B42,0)</f>
        <v>Human Space Flight</v>
      </c>
      <c r="E42" s="88" t="str">
        <f>IF(DTE_Lifespans_existing!E42=1,Use_case_lifespans!$B42,0)</f>
        <v>Human Space Flight</v>
      </c>
      <c r="F42" s="88" t="str">
        <f>IF(DTE_Lifespans_existing!F42=1,Use_case_lifespans!$B42,0)</f>
        <v>Human Space Flight</v>
      </c>
      <c r="G42" s="88" t="str">
        <f>IF(DTE_Lifespans_existing!G42=1,Use_case_lifespans!$B42,0)</f>
        <v>Human Space Flight</v>
      </c>
      <c r="H42" s="88" t="str">
        <f>IF(DTE_Lifespans_existing!H42=1,Use_case_lifespans!$B42,0)</f>
        <v>Human Space Flight</v>
      </c>
      <c r="I42" s="88" t="str">
        <f>IF(DTE_Lifespans_existing!I42=1,Use_case_lifespans!$B42,0)</f>
        <v>Human Space Flight</v>
      </c>
      <c r="J42" s="88" t="str">
        <f>IF(DTE_Lifespans_existing!J42=1,Use_case_lifespans!$B42,0)</f>
        <v>Human Space Flight</v>
      </c>
      <c r="K42" s="88" t="str">
        <f>IF(DTE_Lifespans_existing!K42=1,Use_case_lifespans!$B42,0)</f>
        <v>Human Space Flight</v>
      </c>
      <c r="L42" s="88" t="str">
        <f>IF(DTE_Lifespans_existing!L42=1,Use_case_lifespans!$B42,0)</f>
        <v>Human Space Flight</v>
      </c>
      <c r="M42" s="88" t="str">
        <f>IF(DTE_Lifespans_existing!M42=1,Use_case_lifespans!$B42,0)</f>
        <v>Human Space Flight</v>
      </c>
      <c r="N42" s="88" t="str">
        <f>IF(DTE_Lifespans_existing!N42=1,Use_case_lifespans!$B42,0)</f>
        <v>Human Space Flight</v>
      </c>
      <c r="O42" s="88" t="str">
        <f>IF(DTE_Lifespans_existing!O42=1,Use_case_lifespans!$B42,0)</f>
        <v>Human Space Flight</v>
      </c>
      <c r="P42" s="88" t="str">
        <f>IF(DTE_Lifespans_existing!P42=1,Use_case_lifespans!$B42,0)</f>
        <v>Human Space Flight</v>
      </c>
      <c r="Q42" s="88" t="str">
        <f>IF(DTE_Lifespans_existing!Q42=1,Use_case_lifespans!$B42,0)</f>
        <v>Human Space Flight</v>
      </c>
      <c r="R42" s="88" t="str">
        <f>IF(DTE_Lifespans_existing!R42=1,Use_case_lifespans!$B42,0)</f>
        <v>Human Space Flight</v>
      </c>
      <c r="S42" s="88" t="str">
        <f>IF(DTE_Lifespans_existing!S42=1,Use_case_lifespans!$B42,0)</f>
        <v>Human Space Flight</v>
      </c>
      <c r="T42" s="88" t="str">
        <f>IF(DTE_Lifespans_existing!T42=1,Use_case_lifespans!$B42,0)</f>
        <v>Human Space Flight</v>
      </c>
      <c r="U42" s="88" t="str">
        <f>IF(DTE_Lifespans_existing!U42=1,Use_case_lifespans!$B42,0)</f>
        <v>Human Space Flight</v>
      </c>
      <c r="V42" s="88" t="str">
        <f>IF(DTE_Lifespans_existing!V42=1,Use_case_lifespans!$B42,0)</f>
        <v>Human Space Flight</v>
      </c>
    </row>
    <row r="43" spans="1:22" x14ac:dyDescent="0.3">
      <c r="A43" s="32" t="s">
        <v>64</v>
      </c>
      <c r="B43" s="33" t="s">
        <v>46</v>
      </c>
      <c r="C43" s="88" t="str">
        <f>IF(DTE_Lifespans_existing!C43=1,Use_case_lifespans!$B43,0)</f>
        <v>Near Earth Robotic - Low Latency and Complex Needs</v>
      </c>
      <c r="D43" s="88" t="str">
        <f>IF(DTE_Lifespans_existing!D43=1,Use_case_lifespans!$B43,0)</f>
        <v>Near Earth Robotic - Low Latency and Complex Needs</v>
      </c>
      <c r="E43" s="88">
        <f>IF(DTE_Lifespans_existing!E43=1,Use_case_lifespans!$B43,0)</f>
        <v>0</v>
      </c>
      <c r="F43" s="88">
        <f>IF(DTE_Lifespans_existing!F43=1,Use_case_lifespans!$B43,0)</f>
        <v>0</v>
      </c>
      <c r="G43" s="88">
        <f>IF(DTE_Lifespans_existing!G43=1,Use_case_lifespans!$B43,0)</f>
        <v>0</v>
      </c>
      <c r="H43" s="88">
        <f>IF(DTE_Lifespans_existing!H43=1,Use_case_lifespans!$B43,0)</f>
        <v>0</v>
      </c>
      <c r="I43" s="88">
        <f>IF(DTE_Lifespans_existing!I43=1,Use_case_lifespans!$B43,0)</f>
        <v>0</v>
      </c>
      <c r="J43" s="88">
        <f>IF(DTE_Lifespans_existing!J43=1,Use_case_lifespans!$B43,0)</f>
        <v>0</v>
      </c>
      <c r="K43" s="88">
        <f>IF(DTE_Lifespans_existing!K43=1,Use_case_lifespans!$B43,0)</f>
        <v>0</v>
      </c>
      <c r="L43" s="88">
        <f>IF(DTE_Lifespans_existing!L43=1,Use_case_lifespans!$B43,0)</f>
        <v>0</v>
      </c>
      <c r="M43" s="88">
        <f>IF(DTE_Lifespans_existing!M43=1,Use_case_lifespans!$B43,0)</f>
        <v>0</v>
      </c>
      <c r="N43" s="88">
        <f>IF(DTE_Lifespans_existing!N43=1,Use_case_lifespans!$B43,0)</f>
        <v>0</v>
      </c>
      <c r="O43" s="88">
        <f>IF(DTE_Lifespans_existing!O43=1,Use_case_lifespans!$B43,0)</f>
        <v>0</v>
      </c>
      <c r="P43" s="88">
        <f>IF(DTE_Lifespans_existing!P43=1,Use_case_lifespans!$B43,0)</f>
        <v>0</v>
      </c>
      <c r="Q43" s="88">
        <f>IF(DTE_Lifespans_existing!Q43=1,Use_case_lifespans!$B43,0)</f>
        <v>0</v>
      </c>
      <c r="R43" s="88">
        <f>IF(DTE_Lifespans_existing!R43=1,Use_case_lifespans!$B43,0)</f>
        <v>0</v>
      </c>
      <c r="S43" s="88">
        <f>IF(DTE_Lifespans_existing!S43=1,Use_case_lifespans!$B43,0)</f>
        <v>0</v>
      </c>
      <c r="T43" s="88">
        <f>IF(DTE_Lifespans_existing!T43=1,Use_case_lifespans!$B43,0)</f>
        <v>0</v>
      </c>
      <c r="U43" s="88">
        <f>IF(DTE_Lifespans_existing!U43=1,Use_case_lifespans!$B43,0)</f>
        <v>0</v>
      </c>
      <c r="V43" s="88">
        <f>IF(DTE_Lifespans_existing!V43=1,Use_case_lifespans!$B43,0)</f>
        <v>0</v>
      </c>
    </row>
    <row r="44" spans="1:22" x14ac:dyDescent="0.3">
      <c r="A44" s="32" t="s">
        <v>65</v>
      </c>
      <c r="B44" s="33" t="s">
        <v>41</v>
      </c>
      <c r="C44" s="88" t="str">
        <f>IF(DTE_Lifespans_existing!C44=1,Use_case_lifespans!$B44,0)</f>
        <v>Near Earth Robotic - LEO Science</v>
      </c>
      <c r="D44" s="88" t="str">
        <f>IF(DTE_Lifespans_existing!D44=1,Use_case_lifespans!$B44,0)</f>
        <v>Near Earth Robotic - LEO Science</v>
      </c>
      <c r="E44" s="88" t="str">
        <f>IF(DTE_Lifespans_existing!E44=1,Use_case_lifespans!$B44,0)</f>
        <v>Near Earth Robotic - LEO Science</v>
      </c>
      <c r="F44" s="88" t="str">
        <f>IF(DTE_Lifespans_existing!F44=1,Use_case_lifespans!$B44,0)</f>
        <v>Near Earth Robotic - LEO Science</v>
      </c>
      <c r="G44" s="88" t="str">
        <f>IF(DTE_Lifespans_existing!G44=1,Use_case_lifespans!$B44,0)</f>
        <v>Near Earth Robotic - LEO Science</v>
      </c>
      <c r="H44" s="88" t="str">
        <f>IF(DTE_Lifespans_existing!H44=1,Use_case_lifespans!$B44,0)</f>
        <v>Near Earth Robotic - LEO Science</v>
      </c>
      <c r="I44" s="88" t="str">
        <f>IF(DTE_Lifespans_existing!I44=1,Use_case_lifespans!$B44,0)</f>
        <v>Near Earth Robotic - LEO Science</v>
      </c>
      <c r="J44" s="88">
        <f>IF(DTE_Lifespans_existing!J44=1,Use_case_lifespans!$B44,0)</f>
        <v>0</v>
      </c>
      <c r="K44" s="88">
        <f>IF(DTE_Lifespans_existing!K44=1,Use_case_lifespans!$B44,0)</f>
        <v>0</v>
      </c>
      <c r="L44" s="88">
        <f>IF(DTE_Lifespans_existing!L44=1,Use_case_lifespans!$B44,0)</f>
        <v>0</v>
      </c>
      <c r="M44" s="88">
        <f>IF(DTE_Lifespans_existing!M44=1,Use_case_lifespans!$B44,0)</f>
        <v>0</v>
      </c>
      <c r="N44" s="88">
        <f>IF(DTE_Lifespans_existing!N44=1,Use_case_lifespans!$B44,0)</f>
        <v>0</v>
      </c>
      <c r="O44" s="88">
        <f>IF(DTE_Lifespans_existing!O44=1,Use_case_lifespans!$B44,0)</f>
        <v>0</v>
      </c>
      <c r="P44" s="88">
        <f>IF(DTE_Lifespans_existing!P44=1,Use_case_lifespans!$B44,0)</f>
        <v>0</v>
      </c>
      <c r="Q44" s="88">
        <f>IF(DTE_Lifespans_existing!Q44=1,Use_case_lifespans!$B44,0)</f>
        <v>0</v>
      </c>
      <c r="R44" s="88">
        <f>IF(DTE_Lifespans_existing!R44=1,Use_case_lifespans!$B44,0)</f>
        <v>0</v>
      </c>
      <c r="S44" s="88">
        <f>IF(DTE_Lifespans_existing!S44=1,Use_case_lifespans!$B44,0)</f>
        <v>0</v>
      </c>
      <c r="T44" s="88">
        <f>IF(DTE_Lifespans_existing!T44=1,Use_case_lifespans!$B44,0)</f>
        <v>0</v>
      </c>
      <c r="U44" s="88">
        <f>IF(DTE_Lifespans_existing!U44=1,Use_case_lifespans!$B44,0)</f>
        <v>0</v>
      </c>
      <c r="V44" s="88">
        <f>IF(DTE_Lifespans_existing!V44=1,Use_case_lifespans!$B44,0)</f>
        <v>0</v>
      </c>
    </row>
    <row r="45" spans="1:22" x14ac:dyDescent="0.3">
      <c r="A45" s="32" t="s">
        <v>35</v>
      </c>
      <c r="B45" s="33" t="s">
        <v>40</v>
      </c>
      <c r="C45" s="88" t="str">
        <f>IF(DTE_Lifespans_existing!C45=1,Use_case_lifespans!$B45,0)</f>
        <v>Near Earth Robotic - GEO and Near Earth</v>
      </c>
      <c r="D45" s="88" t="str">
        <f>IF(DTE_Lifespans_existing!D45=1,Use_case_lifespans!$B45,0)</f>
        <v>Near Earth Robotic - GEO and Near Earth</v>
      </c>
      <c r="E45" s="88">
        <f>IF(DTE_Lifespans_existing!E45=1,Use_case_lifespans!$B45,0)</f>
        <v>0</v>
      </c>
      <c r="F45" s="88">
        <f>IF(DTE_Lifespans_existing!F45=1,Use_case_lifespans!$B45,0)</f>
        <v>0</v>
      </c>
      <c r="G45" s="88">
        <f>IF(DTE_Lifespans_existing!G45=1,Use_case_lifespans!$B45,0)</f>
        <v>0</v>
      </c>
      <c r="H45" s="88">
        <f>IF(DTE_Lifespans_existing!H45=1,Use_case_lifespans!$B45,0)</f>
        <v>0</v>
      </c>
      <c r="I45" s="88">
        <f>IF(DTE_Lifespans_existing!I45=1,Use_case_lifespans!$B45,0)</f>
        <v>0</v>
      </c>
      <c r="J45" s="88">
        <f>IF(DTE_Lifespans_existing!J45=1,Use_case_lifespans!$B45,0)</f>
        <v>0</v>
      </c>
      <c r="K45" s="88">
        <f>IF(DTE_Lifespans_existing!K45=1,Use_case_lifespans!$B45,0)</f>
        <v>0</v>
      </c>
      <c r="L45" s="88">
        <f>IF(DTE_Lifespans_existing!L45=1,Use_case_lifespans!$B45,0)</f>
        <v>0</v>
      </c>
      <c r="M45" s="88">
        <f>IF(DTE_Lifespans_existing!M45=1,Use_case_lifespans!$B45,0)</f>
        <v>0</v>
      </c>
      <c r="N45" s="88">
        <f>IF(DTE_Lifespans_existing!N45=1,Use_case_lifespans!$B45,0)</f>
        <v>0</v>
      </c>
      <c r="O45" s="88">
        <f>IF(DTE_Lifespans_existing!O45=1,Use_case_lifespans!$B45,0)</f>
        <v>0</v>
      </c>
      <c r="P45" s="88">
        <f>IF(DTE_Lifespans_existing!P45=1,Use_case_lifespans!$B45,0)</f>
        <v>0</v>
      </c>
      <c r="Q45" s="88">
        <f>IF(DTE_Lifespans_existing!Q45=1,Use_case_lifespans!$B45,0)</f>
        <v>0</v>
      </c>
      <c r="R45" s="88">
        <f>IF(DTE_Lifespans_existing!R45=1,Use_case_lifespans!$B45,0)</f>
        <v>0</v>
      </c>
      <c r="S45" s="88">
        <f>IF(DTE_Lifespans_existing!S45=1,Use_case_lifespans!$B45,0)</f>
        <v>0</v>
      </c>
      <c r="T45" s="88">
        <f>IF(DTE_Lifespans_existing!T45=1,Use_case_lifespans!$B45,0)</f>
        <v>0</v>
      </c>
      <c r="U45" s="88">
        <f>IF(DTE_Lifespans_existing!U45=1,Use_case_lifespans!$B45,0)</f>
        <v>0</v>
      </c>
      <c r="V45" s="88">
        <f>IF(DTE_Lifespans_existing!V45=1,Use_case_lifespans!$B45,0)</f>
        <v>0</v>
      </c>
    </row>
    <row r="46" spans="1:22" x14ac:dyDescent="0.3">
      <c r="A46" s="32" t="s">
        <v>36</v>
      </c>
      <c r="B46" s="33" t="s">
        <v>40</v>
      </c>
      <c r="C46" s="88" t="str">
        <f>IF(DTE_Lifespans_existing!C46=1,Use_case_lifespans!$B46,0)</f>
        <v>Near Earth Robotic - GEO and Near Earth</v>
      </c>
      <c r="D46" s="88" t="str">
        <f>IF(DTE_Lifespans_existing!D46=1,Use_case_lifespans!$B46,0)</f>
        <v>Near Earth Robotic - GEO and Near Earth</v>
      </c>
      <c r="E46" s="88">
        <f>IF(DTE_Lifespans_existing!E46=1,Use_case_lifespans!$B46,0)</f>
        <v>0</v>
      </c>
      <c r="F46" s="88">
        <f>IF(DTE_Lifespans_existing!F46=1,Use_case_lifespans!$B46,0)</f>
        <v>0</v>
      </c>
      <c r="G46" s="88">
        <f>IF(DTE_Lifespans_existing!G46=1,Use_case_lifespans!$B46,0)</f>
        <v>0</v>
      </c>
      <c r="H46" s="88">
        <f>IF(DTE_Lifespans_existing!H46=1,Use_case_lifespans!$B46,0)</f>
        <v>0</v>
      </c>
      <c r="I46" s="88">
        <f>IF(DTE_Lifespans_existing!I46=1,Use_case_lifespans!$B46,0)</f>
        <v>0</v>
      </c>
      <c r="J46" s="88">
        <f>IF(DTE_Lifespans_existing!J46=1,Use_case_lifespans!$B46,0)</f>
        <v>0</v>
      </c>
      <c r="K46" s="88">
        <f>IF(DTE_Lifespans_existing!K46=1,Use_case_lifespans!$B46,0)</f>
        <v>0</v>
      </c>
      <c r="L46" s="88">
        <f>IF(DTE_Lifespans_existing!L46=1,Use_case_lifespans!$B46,0)</f>
        <v>0</v>
      </c>
      <c r="M46" s="88">
        <f>IF(DTE_Lifespans_existing!M46=1,Use_case_lifespans!$B46,0)</f>
        <v>0</v>
      </c>
      <c r="N46" s="88">
        <f>IF(DTE_Lifespans_existing!N46=1,Use_case_lifespans!$B46,0)</f>
        <v>0</v>
      </c>
      <c r="O46" s="88">
        <f>IF(DTE_Lifespans_existing!O46=1,Use_case_lifespans!$B46,0)</f>
        <v>0</v>
      </c>
      <c r="P46" s="88">
        <f>IF(DTE_Lifespans_existing!P46=1,Use_case_lifespans!$B46,0)</f>
        <v>0</v>
      </c>
      <c r="Q46" s="88">
        <f>IF(DTE_Lifespans_existing!Q46=1,Use_case_lifespans!$B46,0)</f>
        <v>0</v>
      </c>
      <c r="R46" s="88">
        <f>IF(DTE_Lifespans_existing!R46=1,Use_case_lifespans!$B46,0)</f>
        <v>0</v>
      </c>
      <c r="S46" s="88">
        <f>IF(DTE_Lifespans_existing!S46=1,Use_case_lifespans!$B46,0)</f>
        <v>0</v>
      </c>
      <c r="T46" s="88">
        <f>IF(DTE_Lifespans_existing!T46=1,Use_case_lifespans!$B46,0)</f>
        <v>0</v>
      </c>
      <c r="U46" s="88">
        <f>IF(DTE_Lifespans_existing!U46=1,Use_case_lifespans!$B46,0)</f>
        <v>0</v>
      </c>
      <c r="V46" s="88">
        <f>IF(DTE_Lifespans_existing!V46=1,Use_case_lifespans!$B46,0)</f>
        <v>0</v>
      </c>
    </row>
    <row r="47" spans="1:22" x14ac:dyDescent="0.3">
      <c r="A47" s="32" t="s">
        <v>37</v>
      </c>
      <c r="B47" s="33" t="s">
        <v>40</v>
      </c>
      <c r="C47" s="88" t="str">
        <f>IF(DTE_Lifespans_existing!C47=1,Use_case_lifespans!$B47,0)</f>
        <v>Near Earth Robotic - GEO and Near Earth</v>
      </c>
      <c r="D47" s="88" t="str">
        <f>IF(DTE_Lifespans_existing!D47=1,Use_case_lifespans!$B47,0)</f>
        <v>Near Earth Robotic - GEO and Near Earth</v>
      </c>
      <c r="E47" s="88">
        <f>IF(DTE_Lifespans_existing!E47=1,Use_case_lifespans!$B47,0)</f>
        <v>0</v>
      </c>
      <c r="F47" s="88">
        <f>IF(DTE_Lifespans_existing!F47=1,Use_case_lifespans!$B47,0)</f>
        <v>0</v>
      </c>
      <c r="G47" s="88">
        <f>IF(DTE_Lifespans_existing!G47=1,Use_case_lifespans!$B47,0)</f>
        <v>0</v>
      </c>
      <c r="H47" s="88">
        <f>IF(DTE_Lifespans_existing!H47=1,Use_case_lifespans!$B47,0)</f>
        <v>0</v>
      </c>
      <c r="I47" s="88">
        <f>IF(DTE_Lifespans_existing!I47=1,Use_case_lifespans!$B47,0)</f>
        <v>0</v>
      </c>
      <c r="J47" s="88">
        <f>IF(DTE_Lifespans_existing!J47=1,Use_case_lifespans!$B47,0)</f>
        <v>0</v>
      </c>
      <c r="K47" s="88">
        <f>IF(DTE_Lifespans_existing!K47=1,Use_case_lifespans!$B47,0)</f>
        <v>0</v>
      </c>
      <c r="L47" s="88">
        <f>IF(DTE_Lifespans_existing!L47=1,Use_case_lifespans!$B47,0)</f>
        <v>0</v>
      </c>
      <c r="M47" s="88">
        <f>IF(DTE_Lifespans_existing!M47=1,Use_case_lifespans!$B47,0)</f>
        <v>0</v>
      </c>
      <c r="N47" s="88">
        <f>IF(DTE_Lifespans_existing!N47=1,Use_case_lifespans!$B47,0)</f>
        <v>0</v>
      </c>
      <c r="O47" s="88">
        <f>IF(DTE_Lifespans_existing!O47=1,Use_case_lifespans!$B47,0)</f>
        <v>0</v>
      </c>
      <c r="P47" s="88">
        <f>IF(DTE_Lifespans_existing!P47=1,Use_case_lifespans!$B47,0)</f>
        <v>0</v>
      </c>
      <c r="Q47" s="88">
        <f>IF(DTE_Lifespans_existing!Q47=1,Use_case_lifespans!$B47,0)</f>
        <v>0</v>
      </c>
      <c r="R47" s="88">
        <f>IF(DTE_Lifespans_existing!R47=1,Use_case_lifespans!$B47,0)</f>
        <v>0</v>
      </c>
      <c r="S47" s="88">
        <f>IF(DTE_Lifespans_existing!S47=1,Use_case_lifespans!$B47,0)</f>
        <v>0</v>
      </c>
      <c r="T47" s="88">
        <f>IF(DTE_Lifespans_existing!T47=1,Use_case_lifespans!$B47,0)</f>
        <v>0</v>
      </c>
      <c r="U47" s="88">
        <f>IF(DTE_Lifespans_existing!U47=1,Use_case_lifespans!$B47,0)</f>
        <v>0</v>
      </c>
      <c r="V47" s="88">
        <f>IF(DTE_Lifespans_existing!V47=1,Use_case_lifespans!$B47,0)</f>
        <v>0</v>
      </c>
    </row>
    <row r="48" spans="1:22" x14ac:dyDescent="0.3">
      <c r="A48" s="32" t="s">
        <v>38</v>
      </c>
      <c r="B48" s="33" t="s">
        <v>41</v>
      </c>
      <c r="C48" s="88" t="str">
        <f>IF(DTE_Lifespans_existing!C48=1,Use_case_lifespans!$B48,0)</f>
        <v>Near Earth Robotic - LEO Science</v>
      </c>
      <c r="D48" s="88">
        <f>IF(DTE_Lifespans_existing!D48=1,Use_case_lifespans!$B48,0)</f>
        <v>0</v>
      </c>
      <c r="E48" s="88">
        <f>IF(DTE_Lifespans_existing!E48=1,Use_case_lifespans!$B48,0)</f>
        <v>0</v>
      </c>
      <c r="F48" s="88">
        <f>IF(DTE_Lifespans_existing!F48=1,Use_case_lifespans!$B48,0)</f>
        <v>0</v>
      </c>
      <c r="G48" s="88">
        <f>IF(DTE_Lifespans_existing!G48=1,Use_case_lifespans!$B48,0)</f>
        <v>0</v>
      </c>
      <c r="H48" s="88">
        <f>IF(DTE_Lifespans_existing!H48=1,Use_case_lifespans!$B48,0)</f>
        <v>0</v>
      </c>
      <c r="I48" s="88">
        <f>IF(DTE_Lifespans_existing!I48=1,Use_case_lifespans!$B48,0)</f>
        <v>0</v>
      </c>
      <c r="J48" s="88">
        <f>IF(DTE_Lifespans_existing!J48=1,Use_case_lifespans!$B48,0)</f>
        <v>0</v>
      </c>
      <c r="K48" s="88">
        <f>IF(DTE_Lifespans_existing!K48=1,Use_case_lifespans!$B48,0)</f>
        <v>0</v>
      </c>
      <c r="L48" s="88">
        <f>IF(DTE_Lifespans_existing!L48=1,Use_case_lifespans!$B48,0)</f>
        <v>0</v>
      </c>
      <c r="M48" s="88">
        <f>IF(DTE_Lifespans_existing!M48=1,Use_case_lifespans!$B48,0)</f>
        <v>0</v>
      </c>
      <c r="N48" s="88">
        <f>IF(DTE_Lifespans_existing!N48=1,Use_case_lifespans!$B48,0)</f>
        <v>0</v>
      </c>
      <c r="O48" s="88">
        <f>IF(DTE_Lifespans_existing!O48=1,Use_case_lifespans!$B48,0)</f>
        <v>0</v>
      </c>
      <c r="P48" s="88">
        <f>IF(DTE_Lifespans_existing!P48=1,Use_case_lifespans!$B48,0)</f>
        <v>0</v>
      </c>
      <c r="Q48" s="88">
        <f>IF(DTE_Lifespans_existing!Q48=1,Use_case_lifespans!$B48,0)</f>
        <v>0</v>
      </c>
      <c r="R48" s="88">
        <f>IF(DTE_Lifespans_existing!R48=1,Use_case_lifespans!$B48,0)</f>
        <v>0</v>
      </c>
      <c r="S48" s="88">
        <f>IF(DTE_Lifespans_existing!S48=1,Use_case_lifespans!$B48,0)</f>
        <v>0</v>
      </c>
      <c r="T48" s="88">
        <f>IF(DTE_Lifespans_existing!T48=1,Use_case_lifespans!$B48,0)</f>
        <v>0</v>
      </c>
      <c r="U48" s="88">
        <f>IF(DTE_Lifespans_existing!U48=1,Use_case_lifespans!$B48,0)</f>
        <v>0</v>
      </c>
      <c r="V48" s="88">
        <f>IF(DTE_Lifespans_existing!V48=1,Use_case_lifespans!$B48,0)</f>
        <v>0</v>
      </c>
    </row>
    <row r="49" spans="1:22" x14ac:dyDescent="0.3">
      <c r="C49" s="88"/>
      <c r="D49" s="88"/>
      <c r="E49" s="88"/>
      <c r="F49" s="88"/>
      <c r="G49" s="88"/>
      <c r="H49" s="88"/>
      <c r="I49" s="88"/>
      <c r="J49" s="88"/>
      <c r="K49" s="88"/>
      <c r="L49" s="88"/>
      <c r="M49" s="88"/>
      <c r="N49" s="88"/>
      <c r="O49" s="88"/>
      <c r="P49" s="88"/>
      <c r="Q49" s="88"/>
      <c r="R49" s="88"/>
      <c r="S49" s="88"/>
      <c r="T49" s="88"/>
      <c r="U49" s="88"/>
      <c r="V49" s="88"/>
    </row>
    <row r="50" spans="1:22" x14ac:dyDescent="0.3">
      <c r="A50" s="86" t="s">
        <v>132</v>
      </c>
    </row>
  </sheetData>
  <autoFilter ref="A1:V48" xr:uid="{3A8DBBC3-2F6E-4F74-9731-6A90B0FA0F89}">
    <sortState xmlns:xlrd2="http://schemas.microsoft.com/office/spreadsheetml/2017/richdata2" ref="A2:V48">
      <sortCondition ref="A1:A48"/>
    </sortState>
  </autoFilter>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3CD8F4-2572-419D-9209-A7874310E3D2}">
  <sheetPr codeName="Sheet20">
    <tabColor rgb="FF92D050"/>
  </sheetPr>
  <dimension ref="A1:V96"/>
  <sheetViews>
    <sheetView zoomScaleNormal="100" workbookViewId="0">
      <selection activeCell="D24" sqref="D24"/>
    </sheetView>
  </sheetViews>
  <sheetFormatPr defaultRowHeight="13.8" x14ac:dyDescent="0.25"/>
  <cols>
    <col min="1" max="1" width="14.21875" style="48" customWidth="1"/>
    <col min="2" max="2" width="51.88671875" style="48" bestFit="1" customWidth="1"/>
    <col min="3" max="22" width="9.44140625" style="49" customWidth="1"/>
    <col min="23" max="16384" width="8.88671875" style="48"/>
  </cols>
  <sheetData>
    <row r="1" spans="1:22" s="11" customFormat="1" x14ac:dyDescent="0.25">
      <c r="A1" s="30" t="s">
        <v>16</v>
      </c>
      <c r="B1" s="30" t="s">
        <v>82</v>
      </c>
      <c r="C1" s="30">
        <v>2021</v>
      </c>
      <c r="D1" s="31">
        <v>2022</v>
      </c>
      <c r="E1" s="30">
        <v>2023</v>
      </c>
      <c r="F1" s="31">
        <v>2024</v>
      </c>
      <c r="G1" s="30">
        <v>2025</v>
      </c>
      <c r="H1" s="31">
        <v>2026</v>
      </c>
      <c r="I1" s="30">
        <v>2027</v>
      </c>
      <c r="J1" s="31">
        <v>2028</v>
      </c>
      <c r="K1" s="30">
        <v>2029</v>
      </c>
      <c r="L1" s="31">
        <v>2030</v>
      </c>
      <c r="M1" s="30">
        <v>2031</v>
      </c>
      <c r="N1" s="31">
        <v>2032</v>
      </c>
      <c r="O1" s="30">
        <v>2033</v>
      </c>
      <c r="P1" s="31">
        <v>2034</v>
      </c>
      <c r="Q1" s="30">
        <v>2035</v>
      </c>
      <c r="R1" s="31">
        <v>2036</v>
      </c>
      <c r="S1" s="30">
        <v>2037</v>
      </c>
      <c r="T1" s="31">
        <v>2038</v>
      </c>
      <c r="U1" s="30">
        <v>2039</v>
      </c>
      <c r="V1" s="31">
        <v>2040</v>
      </c>
    </row>
    <row r="2" spans="1:22" s="2" customFormat="1" ht="14.4" customHeight="1" x14ac:dyDescent="0.25">
      <c r="A2" s="513" t="s">
        <v>85</v>
      </c>
      <c r="B2" s="33" t="s">
        <v>43</v>
      </c>
      <c r="C2" s="37">
        <f>COUNTIF(Use_case_lifespans!C$2:C$48,$B2)</f>
        <v>6</v>
      </c>
      <c r="D2" s="37">
        <f>COUNTIF(Use_case_lifespans!D$2:D$48,$B2)</f>
        <v>6</v>
      </c>
      <c r="E2" s="37">
        <f>COUNTIF(Use_case_lifespans!E$2:E$48,$B2)</f>
        <v>6</v>
      </c>
      <c r="F2" s="37">
        <f>COUNTIF(Use_case_lifespans!F$2:F$48,$B2)</f>
        <v>6</v>
      </c>
      <c r="G2" s="37">
        <f>COUNTIF(Use_case_lifespans!G$2:G$48,$B2)</f>
        <v>6</v>
      </c>
      <c r="H2" s="37">
        <f>COUNTIF(Use_case_lifespans!H$2:H$48,$B2)</f>
        <v>6</v>
      </c>
      <c r="I2" s="37">
        <f>COUNTIF(Use_case_lifespans!I$2:I$48,$B2)</f>
        <v>6</v>
      </c>
      <c r="J2" s="37">
        <f>COUNTIF(Use_case_lifespans!J$2:J$48,$B2)</f>
        <v>6</v>
      </c>
      <c r="K2" s="37">
        <f>COUNTIF(Use_case_lifespans!K$2:K$48,$B2)</f>
        <v>6</v>
      </c>
      <c r="L2" s="37">
        <f>COUNTIF(Use_case_lifespans!L$2:L$48,$B2)</f>
        <v>6</v>
      </c>
      <c r="M2" s="37">
        <f>COUNTIF(Use_case_lifespans!M$2:M$48,$B2)</f>
        <v>4</v>
      </c>
      <c r="N2" s="37">
        <f>COUNTIF(Use_case_lifespans!N$2:N$48,$B2)</f>
        <v>4</v>
      </c>
      <c r="O2" s="37">
        <f>COUNTIF(Use_case_lifespans!O$2:O$48,$B2)</f>
        <v>4</v>
      </c>
      <c r="P2" s="37">
        <f>COUNTIF(Use_case_lifespans!P$2:P$48,$B2)</f>
        <v>4</v>
      </c>
      <c r="Q2" s="37">
        <f>COUNTIF(Use_case_lifespans!Q$2:Q$48,$B2)</f>
        <v>4</v>
      </c>
      <c r="R2" s="37">
        <f>COUNTIF(Use_case_lifespans!R$2:R$48,$B2)</f>
        <v>4</v>
      </c>
      <c r="S2" s="37">
        <f>COUNTIF(Use_case_lifespans!S$2:S$48,$B2)</f>
        <v>4</v>
      </c>
      <c r="T2" s="37">
        <f>COUNTIF(Use_case_lifespans!T$2:T$48,$B2)</f>
        <v>4</v>
      </c>
      <c r="U2" s="37">
        <f>COUNTIF(Use_case_lifespans!U$2:U$48,$B2)</f>
        <v>4</v>
      </c>
      <c r="V2" s="37">
        <f>COUNTIF(Use_case_lifespans!V$2:V$48,$B2)</f>
        <v>4</v>
      </c>
    </row>
    <row r="3" spans="1:22" s="2" customFormat="1" x14ac:dyDescent="0.25">
      <c r="A3" s="513"/>
      <c r="B3" s="33" t="s">
        <v>41</v>
      </c>
      <c r="C3" s="37">
        <f>COUNTIF(Use_case_lifespans!C$2:C$48,$B3)</f>
        <v>17</v>
      </c>
      <c r="D3" s="37">
        <f>COUNTIF(Use_case_lifespans!D$2:D$48,$B3)</f>
        <v>15</v>
      </c>
      <c r="E3" s="37">
        <f>COUNTIF(Use_case_lifespans!E$2:E$48,$B3)</f>
        <v>14</v>
      </c>
      <c r="F3" s="37">
        <f>COUNTIF(Use_case_lifespans!F$2:F$48,$B3)</f>
        <v>12</v>
      </c>
      <c r="G3" s="37">
        <f>COUNTIF(Use_case_lifespans!G$2:G$48,$B3)</f>
        <v>9</v>
      </c>
      <c r="H3" s="37">
        <f>COUNTIF(Use_case_lifespans!H$2:H$48,$B3)</f>
        <v>6</v>
      </c>
      <c r="I3" s="37">
        <f>COUNTIF(Use_case_lifespans!I$2:I$48,$B3)</f>
        <v>3</v>
      </c>
      <c r="J3" s="37">
        <f>COUNTIF(Use_case_lifespans!J$2:J$48,$B3)</f>
        <v>1</v>
      </c>
      <c r="K3" s="37">
        <f>COUNTIF(Use_case_lifespans!K$2:K$48,$B3)</f>
        <v>1</v>
      </c>
      <c r="L3" s="37">
        <f>COUNTIF(Use_case_lifespans!L$2:L$48,$B3)</f>
        <v>1</v>
      </c>
      <c r="M3" s="37">
        <f>COUNTIF(Use_case_lifespans!M$2:M$48,$B3)</f>
        <v>1</v>
      </c>
      <c r="N3" s="37">
        <f>COUNTIF(Use_case_lifespans!N$2:N$48,$B3)</f>
        <v>1</v>
      </c>
      <c r="O3" s="37">
        <f>COUNTIF(Use_case_lifespans!O$2:O$48,$B3)</f>
        <v>1</v>
      </c>
      <c r="P3" s="37">
        <f>COUNTIF(Use_case_lifespans!P$2:P$48,$B3)</f>
        <v>1</v>
      </c>
      <c r="Q3" s="37">
        <f>COUNTIF(Use_case_lifespans!Q$2:Q$48,$B3)</f>
        <v>1</v>
      </c>
      <c r="R3" s="37">
        <f>COUNTIF(Use_case_lifespans!R$2:R$48,$B3)</f>
        <v>1</v>
      </c>
      <c r="S3" s="37">
        <f>COUNTIF(Use_case_lifespans!S$2:S$48,$B3)</f>
        <v>1</v>
      </c>
      <c r="T3" s="37">
        <f>COUNTIF(Use_case_lifespans!T$2:T$48,$B3)</f>
        <v>1</v>
      </c>
      <c r="U3" s="37">
        <f>COUNTIF(Use_case_lifespans!U$2:U$48,$B3)</f>
        <v>1</v>
      </c>
      <c r="V3" s="37">
        <f>COUNTIF(Use_case_lifespans!V$2:V$48,$B3)</f>
        <v>1</v>
      </c>
    </row>
    <row r="4" spans="1:22" s="2" customFormat="1" x14ac:dyDescent="0.25">
      <c r="A4" s="513"/>
      <c r="B4" s="33" t="s">
        <v>40</v>
      </c>
      <c r="C4" s="37">
        <f>COUNTIF(Use_case_lifespans!C$2:C$48,$B4)</f>
        <v>8</v>
      </c>
      <c r="D4" s="37">
        <f>COUNTIF(Use_case_lifespans!D$2:D$48,$B4)</f>
        <v>8</v>
      </c>
      <c r="E4" s="37">
        <f>COUNTIF(Use_case_lifespans!E$2:E$48,$B4)</f>
        <v>4</v>
      </c>
      <c r="F4" s="37">
        <f>COUNTIF(Use_case_lifespans!F$2:F$48,$B4)</f>
        <v>4</v>
      </c>
      <c r="G4" s="37">
        <f>COUNTIF(Use_case_lifespans!G$2:G$48,$B4)</f>
        <v>4</v>
      </c>
      <c r="H4" s="37">
        <f>COUNTIF(Use_case_lifespans!H$2:H$48,$B4)</f>
        <v>4</v>
      </c>
      <c r="I4" s="37">
        <f>COUNTIF(Use_case_lifespans!I$2:I$48,$B4)</f>
        <v>4</v>
      </c>
      <c r="J4" s="37">
        <f>COUNTIF(Use_case_lifespans!J$2:J$48,$B4)</f>
        <v>4</v>
      </c>
      <c r="K4" s="37">
        <f>COUNTIF(Use_case_lifespans!K$2:K$48,$B4)</f>
        <v>4</v>
      </c>
      <c r="L4" s="37">
        <f>COUNTIF(Use_case_lifespans!L$2:L$48,$B4)</f>
        <v>4</v>
      </c>
      <c r="M4" s="37">
        <f>COUNTIF(Use_case_lifespans!M$2:M$48,$B4)</f>
        <v>4</v>
      </c>
      <c r="N4" s="37">
        <f>COUNTIF(Use_case_lifespans!N$2:N$48,$B4)</f>
        <v>4</v>
      </c>
      <c r="O4" s="37">
        <f>COUNTIF(Use_case_lifespans!O$2:O$48,$B4)</f>
        <v>4</v>
      </c>
      <c r="P4" s="37">
        <f>COUNTIF(Use_case_lifespans!P$2:P$48,$B4)</f>
        <v>4</v>
      </c>
      <c r="Q4" s="37">
        <f>COUNTIF(Use_case_lifespans!Q$2:Q$48,$B4)</f>
        <v>4</v>
      </c>
      <c r="R4" s="37">
        <f>COUNTIF(Use_case_lifespans!R$2:R$48,$B4)</f>
        <v>4</v>
      </c>
      <c r="S4" s="37">
        <f>COUNTIF(Use_case_lifespans!S$2:S$48,$B4)</f>
        <v>4</v>
      </c>
      <c r="T4" s="37">
        <f>COUNTIF(Use_case_lifespans!T$2:T$48,$B4)</f>
        <v>4</v>
      </c>
      <c r="U4" s="37">
        <f>COUNTIF(Use_case_lifespans!U$2:U$48,$B4)</f>
        <v>4</v>
      </c>
      <c r="V4" s="37">
        <f>COUNTIF(Use_case_lifespans!V$2:V$48,$B4)</f>
        <v>4</v>
      </c>
    </row>
    <row r="5" spans="1:22" s="2" customFormat="1" x14ac:dyDescent="0.25">
      <c r="A5" s="513"/>
      <c r="B5" s="33" t="s">
        <v>80</v>
      </c>
      <c r="C5" s="37">
        <f>COUNTIF(Use_case_lifespans!C$2:C$48,$B5)</f>
        <v>0</v>
      </c>
      <c r="D5" s="37">
        <f>COUNTIF(Use_case_lifespans!D$2:D$48,$B5)</f>
        <v>0</v>
      </c>
      <c r="E5" s="37">
        <f>COUNTIF(Use_case_lifespans!E$2:E$48,$B5)</f>
        <v>0</v>
      </c>
      <c r="F5" s="37">
        <f>COUNTIF(Use_case_lifespans!F$2:F$48,$B5)</f>
        <v>0</v>
      </c>
      <c r="G5" s="37">
        <f>COUNTIF(Use_case_lifespans!G$2:G$48,$B5)</f>
        <v>0</v>
      </c>
      <c r="H5" s="37">
        <f>COUNTIF(Use_case_lifespans!H$2:H$48,$B5)</f>
        <v>0</v>
      </c>
      <c r="I5" s="37">
        <f>COUNTIF(Use_case_lifespans!I$2:I$48,$B5)</f>
        <v>0</v>
      </c>
      <c r="J5" s="37">
        <f>COUNTIF(Use_case_lifespans!J$2:J$48,$B5)</f>
        <v>0</v>
      </c>
      <c r="K5" s="37">
        <f>COUNTIF(Use_case_lifespans!K$2:K$48,$B5)</f>
        <v>0</v>
      </c>
      <c r="L5" s="37">
        <f>COUNTIF(Use_case_lifespans!L$2:L$48,$B5)</f>
        <v>0</v>
      </c>
      <c r="M5" s="37">
        <f>COUNTIF(Use_case_lifespans!M$2:M$48,$B5)</f>
        <v>0</v>
      </c>
      <c r="N5" s="37">
        <f>COUNTIF(Use_case_lifespans!N$2:N$48,$B5)</f>
        <v>0</v>
      </c>
      <c r="O5" s="37">
        <f>COUNTIF(Use_case_lifespans!O$2:O$48,$B5)</f>
        <v>0</v>
      </c>
      <c r="P5" s="37">
        <f>COUNTIF(Use_case_lifespans!P$2:P$48,$B5)</f>
        <v>0</v>
      </c>
      <c r="Q5" s="37">
        <f>COUNTIF(Use_case_lifespans!Q$2:Q$48,$B5)</f>
        <v>0</v>
      </c>
      <c r="R5" s="37">
        <f>COUNTIF(Use_case_lifespans!R$2:R$48,$B5)</f>
        <v>0</v>
      </c>
      <c r="S5" s="37">
        <f>COUNTIF(Use_case_lifespans!S$2:S$48,$B5)</f>
        <v>0</v>
      </c>
      <c r="T5" s="37">
        <f>COUNTIF(Use_case_lifespans!T$2:T$48,$B5)</f>
        <v>0</v>
      </c>
      <c r="U5" s="37">
        <f>COUNTIF(Use_case_lifespans!U$2:U$48,$B5)</f>
        <v>0</v>
      </c>
      <c r="V5" s="37">
        <f>COUNTIF(Use_case_lifespans!V$2:V$48,$B5)</f>
        <v>0</v>
      </c>
    </row>
    <row r="6" spans="1:22" s="2" customFormat="1" x14ac:dyDescent="0.25">
      <c r="A6" s="513"/>
      <c r="B6" s="33" t="s">
        <v>44</v>
      </c>
      <c r="C6" s="37">
        <f>COUNTIF(Use_case_lifespans!C$2:C$48,$B6)</f>
        <v>1</v>
      </c>
      <c r="D6" s="37">
        <f>COUNTIF(Use_case_lifespans!D$2:D$48,$B6)</f>
        <v>1</v>
      </c>
      <c r="E6" s="37">
        <f>COUNTIF(Use_case_lifespans!E$2:E$48,$B6)</f>
        <v>1</v>
      </c>
      <c r="F6" s="37">
        <f>COUNTIF(Use_case_lifespans!F$2:F$48,$B6)</f>
        <v>1</v>
      </c>
      <c r="G6" s="37">
        <f>COUNTIF(Use_case_lifespans!G$2:G$48,$B6)</f>
        <v>0</v>
      </c>
      <c r="H6" s="37">
        <f>COUNTIF(Use_case_lifespans!H$2:H$48,$B6)</f>
        <v>0</v>
      </c>
      <c r="I6" s="37">
        <f>COUNTIF(Use_case_lifespans!I$2:I$48,$B6)</f>
        <v>0</v>
      </c>
      <c r="J6" s="37">
        <f>COUNTIF(Use_case_lifespans!J$2:J$48,$B6)</f>
        <v>0</v>
      </c>
      <c r="K6" s="37">
        <f>COUNTIF(Use_case_lifespans!K$2:K$48,$B6)</f>
        <v>0</v>
      </c>
      <c r="L6" s="37">
        <f>COUNTIF(Use_case_lifespans!L$2:L$48,$B6)</f>
        <v>0</v>
      </c>
      <c r="M6" s="37">
        <f>COUNTIF(Use_case_lifespans!M$2:M$48,$B6)</f>
        <v>0</v>
      </c>
      <c r="N6" s="37">
        <f>COUNTIF(Use_case_lifespans!N$2:N$48,$B6)</f>
        <v>0</v>
      </c>
      <c r="O6" s="37">
        <f>COUNTIF(Use_case_lifespans!O$2:O$48,$B6)</f>
        <v>0</v>
      </c>
      <c r="P6" s="37">
        <f>COUNTIF(Use_case_lifespans!P$2:P$48,$B6)</f>
        <v>0</v>
      </c>
      <c r="Q6" s="37">
        <f>COUNTIF(Use_case_lifespans!Q$2:Q$48,$B6)</f>
        <v>0</v>
      </c>
      <c r="R6" s="37">
        <f>COUNTIF(Use_case_lifespans!R$2:R$48,$B6)</f>
        <v>0</v>
      </c>
      <c r="S6" s="37">
        <f>COUNTIF(Use_case_lifespans!S$2:S$48,$B6)</f>
        <v>0</v>
      </c>
      <c r="T6" s="37">
        <f>COUNTIF(Use_case_lifespans!T$2:T$48,$B6)</f>
        <v>0</v>
      </c>
      <c r="U6" s="37">
        <f>COUNTIF(Use_case_lifespans!U$2:U$48,$B6)</f>
        <v>0</v>
      </c>
      <c r="V6" s="37">
        <f>COUNTIF(Use_case_lifespans!V$2:V$48,$B6)</f>
        <v>0</v>
      </c>
    </row>
    <row r="7" spans="1:22" s="2" customFormat="1" x14ac:dyDescent="0.25">
      <c r="A7" s="513"/>
      <c r="B7" s="33" t="s">
        <v>81</v>
      </c>
      <c r="C7" s="37">
        <f>COUNTIF(Use_case_lifespans!C$2:C$48,$B7)</f>
        <v>0</v>
      </c>
      <c r="D7" s="37">
        <f>COUNTIF(Use_case_lifespans!D$2:D$48,$B7)</f>
        <v>0</v>
      </c>
      <c r="E7" s="37">
        <f>COUNTIF(Use_case_lifespans!E$2:E$48,$B7)</f>
        <v>0</v>
      </c>
      <c r="F7" s="37">
        <f>COUNTIF(Use_case_lifespans!F$2:F$48,$B7)</f>
        <v>0</v>
      </c>
      <c r="G7" s="37">
        <f>COUNTIF(Use_case_lifespans!G$2:G$48,$B7)</f>
        <v>0</v>
      </c>
      <c r="H7" s="37">
        <f>COUNTIF(Use_case_lifespans!H$2:H$48,$B7)</f>
        <v>0</v>
      </c>
      <c r="I7" s="37">
        <f>COUNTIF(Use_case_lifespans!I$2:I$48,$B7)</f>
        <v>0</v>
      </c>
      <c r="J7" s="37">
        <f>COUNTIF(Use_case_lifespans!J$2:J$48,$B7)</f>
        <v>0</v>
      </c>
      <c r="K7" s="37">
        <f>COUNTIF(Use_case_lifespans!K$2:K$48,$B7)</f>
        <v>0</v>
      </c>
      <c r="L7" s="37">
        <f>COUNTIF(Use_case_lifespans!L$2:L$48,$B7)</f>
        <v>0</v>
      </c>
      <c r="M7" s="37">
        <f>COUNTIF(Use_case_lifespans!M$2:M$48,$B7)</f>
        <v>0</v>
      </c>
      <c r="N7" s="37">
        <f>COUNTIF(Use_case_lifespans!N$2:N$48,$B7)</f>
        <v>0</v>
      </c>
      <c r="O7" s="37">
        <f>COUNTIF(Use_case_lifespans!O$2:O$48,$B7)</f>
        <v>0</v>
      </c>
      <c r="P7" s="37">
        <f>COUNTIF(Use_case_lifespans!P$2:P$48,$B7)</f>
        <v>0</v>
      </c>
      <c r="Q7" s="37">
        <f>COUNTIF(Use_case_lifespans!Q$2:Q$48,$B7)</f>
        <v>0</v>
      </c>
      <c r="R7" s="37">
        <f>COUNTIF(Use_case_lifespans!R$2:R$48,$B7)</f>
        <v>0</v>
      </c>
      <c r="S7" s="37">
        <f>COUNTIF(Use_case_lifespans!S$2:S$48,$B7)</f>
        <v>0</v>
      </c>
      <c r="T7" s="37">
        <f>COUNTIF(Use_case_lifespans!T$2:T$48,$B7)</f>
        <v>0</v>
      </c>
      <c r="U7" s="37">
        <f>COUNTIF(Use_case_lifespans!U$2:U$48,$B7)</f>
        <v>0</v>
      </c>
      <c r="V7" s="37">
        <f>COUNTIF(Use_case_lifespans!V$2:V$48,$B7)</f>
        <v>0</v>
      </c>
    </row>
    <row r="8" spans="1:22" s="2" customFormat="1" x14ac:dyDescent="0.25">
      <c r="A8" s="513"/>
      <c r="B8" s="33" t="s">
        <v>42</v>
      </c>
      <c r="C8" s="37">
        <f>COUNTIF(Use_case_lifespans!C$2:C$48,$B8)</f>
        <v>3</v>
      </c>
      <c r="D8" s="37">
        <f>COUNTIF(Use_case_lifespans!D$2:D$48,$B8)</f>
        <v>3</v>
      </c>
      <c r="E8" s="37">
        <f>COUNTIF(Use_case_lifespans!E$2:E$48,$B8)</f>
        <v>3</v>
      </c>
      <c r="F8" s="37">
        <f>COUNTIF(Use_case_lifespans!F$2:F$48,$B8)</f>
        <v>3</v>
      </c>
      <c r="G8" s="37">
        <f>COUNTIF(Use_case_lifespans!G$2:G$48,$B8)</f>
        <v>2</v>
      </c>
      <c r="H8" s="37">
        <f>COUNTIF(Use_case_lifespans!H$2:H$48,$B8)</f>
        <v>2</v>
      </c>
      <c r="I8" s="37">
        <f>COUNTIF(Use_case_lifespans!I$2:I$48,$B8)</f>
        <v>2</v>
      </c>
      <c r="J8" s="37">
        <f>COUNTIF(Use_case_lifespans!J$2:J$48,$B8)</f>
        <v>2</v>
      </c>
      <c r="K8" s="37">
        <f>COUNTIF(Use_case_lifespans!K$2:K$48,$B8)</f>
        <v>2</v>
      </c>
      <c r="L8" s="37">
        <f>COUNTIF(Use_case_lifespans!L$2:L$48,$B8)</f>
        <v>2</v>
      </c>
      <c r="M8" s="37">
        <f>COUNTIF(Use_case_lifespans!M$2:M$48,$B8)</f>
        <v>2</v>
      </c>
      <c r="N8" s="37">
        <f>COUNTIF(Use_case_lifespans!N$2:N$48,$B8)</f>
        <v>2</v>
      </c>
      <c r="O8" s="37">
        <f>COUNTIF(Use_case_lifespans!O$2:O$48,$B8)</f>
        <v>2</v>
      </c>
      <c r="P8" s="37">
        <f>COUNTIF(Use_case_lifespans!P$2:P$48,$B8)</f>
        <v>2</v>
      </c>
      <c r="Q8" s="37">
        <f>COUNTIF(Use_case_lifespans!Q$2:Q$48,$B8)</f>
        <v>2</v>
      </c>
      <c r="R8" s="37">
        <f>COUNTIF(Use_case_lifespans!R$2:R$48,$B8)</f>
        <v>2</v>
      </c>
      <c r="S8" s="37">
        <f>COUNTIF(Use_case_lifespans!S$2:S$48,$B8)</f>
        <v>2</v>
      </c>
      <c r="T8" s="37">
        <f>COUNTIF(Use_case_lifespans!T$2:T$48,$B8)</f>
        <v>2</v>
      </c>
      <c r="U8" s="37">
        <f>COUNTIF(Use_case_lifespans!U$2:U$48,$B8)</f>
        <v>2</v>
      </c>
      <c r="V8" s="37">
        <f>COUNTIF(Use_case_lifespans!V$2:V$48,$B8)</f>
        <v>2</v>
      </c>
    </row>
    <row r="9" spans="1:22" s="2" customFormat="1" x14ac:dyDescent="0.25">
      <c r="A9" s="513"/>
      <c r="B9" s="33" t="s">
        <v>45</v>
      </c>
      <c r="C9" s="37">
        <f>COUNTIF(Use_case_lifespans!C$2:C$48,$B9)</f>
        <v>3</v>
      </c>
      <c r="D9" s="37">
        <f>COUNTIF(Use_case_lifespans!D$2:D$48,$B9)</f>
        <v>2</v>
      </c>
      <c r="E9" s="37">
        <f>COUNTIF(Use_case_lifespans!E$2:E$48,$B9)</f>
        <v>2</v>
      </c>
      <c r="F9" s="37">
        <f>COUNTIF(Use_case_lifespans!F$2:F$48,$B9)</f>
        <v>2</v>
      </c>
      <c r="G9" s="37">
        <f>COUNTIF(Use_case_lifespans!G$2:G$48,$B9)</f>
        <v>2</v>
      </c>
      <c r="H9" s="37">
        <f>COUNTIF(Use_case_lifespans!H$2:H$48,$B9)</f>
        <v>1</v>
      </c>
      <c r="I9" s="37">
        <f>COUNTIF(Use_case_lifespans!I$2:I$48,$B9)</f>
        <v>1</v>
      </c>
      <c r="J9" s="37">
        <f>COUNTIF(Use_case_lifespans!J$2:J$48,$B9)</f>
        <v>1</v>
      </c>
      <c r="K9" s="37">
        <f>COUNTIF(Use_case_lifespans!K$2:K$48,$B9)</f>
        <v>1</v>
      </c>
      <c r="L9" s="37">
        <f>COUNTIF(Use_case_lifespans!L$2:L$48,$B9)</f>
        <v>1</v>
      </c>
      <c r="M9" s="37">
        <f>COUNTIF(Use_case_lifespans!M$2:M$48,$B9)</f>
        <v>1</v>
      </c>
      <c r="N9" s="37">
        <f>COUNTIF(Use_case_lifespans!N$2:N$48,$B9)</f>
        <v>1</v>
      </c>
      <c r="O9" s="37">
        <f>COUNTIF(Use_case_lifespans!O$2:O$48,$B9)</f>
        <v>1</v>
      </c>
      <c r="P9" s="37">
        <f>COUNTIF(Use_case_lifespans!P$2:P$48,$B9)</f>
        <v>1</v>
      </c>
      <c r="Q9" s="37">
        <f>COUNTIF(Use_case_lifespans!Q$2:Q$48,$B9)</f>
        <v>1</v>
      </c>
      <c r="R9" s="37">
        <f>COUNTIF(Use_case_lifespans!R$2:R$48,$B9)</f>
        <v>1</v>
      </c>
      <c r="S9" s="37">
        <f>COUNTIF(Use_case_lifespans!S$2:S$48,$B9)</f>
        <v>1</v>
      </c>
      <c r="T9" s="37">
        <f>COUNTIF(Use_case_lifespans!T$2:T$48,$B9)</f>
        <v>1</v>
      </c>
      <c r="U9" s="37">
        <f>COUNTIF(Use_case_lifespans!U$2:U$48,$B9)</f>
        <v>1</v>
      </c>
      <c r="V9" s="37">
        <f>COUNTIF(Use_case_lifespans!V$2:V$48,$B9)</f>
        <v>1</v>
      </c>
    </row>
    <row r="10" spans="1:22" s="2" customFormat="1" x14ac:dyDescent="0.25">
      <c r="A10" s="513"/>
      <c r="B10" s="50" t="s">
        <v>84</v>
      </c>
      <c r="C10" s="51">
        <f>SUM(C2:C9)</f>
        <v>38</v>
      </c>
      <c r="D10" s="51">
        <f t="shared" ref="D10:V10" si="0">SUM(D2:D9)</f>
        <v>35</v>
      </c>
      <c r="E10" s="51">
        <f t="shared" si="0"/>
        <v>30</v>
      </c>
      <c r="F10" s="51">
        <f t="shared" si="0"/>
        <v>28</v>
      </c>
      <c r="G10" s="51">
        <f t="shared" si="0"/>
        <v>23</v>
      </c>
      <c r="H10" s="51">
        <f t="shared" si="0"/>
        <v>19</v>
      </c>
      <c r="I10" s="51">
        <f t="shared" si="0"/>
        <v>16</v>
      </c>
      <c r="J10" s="51">
        <f t="shared" si="0"/>
        <v>14</v>
      </c>
      <c r="K10" s="51">
        <f t="shared" si="0"/>
        <v>14</v>
      </c>
      <c r="L10" s="51">
        <f t="shared" si="0"/>
        <v>14</v>
      </c>
      <c r="M10" s="51">
        <f t="shared" si="0"/>
        <v>12</v>
      </c>
      <c r="N10" s="51">
        <f t="shared" si="0"/>
        <v>12</v>
      </c>
      <c r="O10" s="51">
        <f t="shared" si="0"/>
        <v>12</v>
      </c>
      <c r="P10" s="51">
        <f t="shared" si="0"/>
        <v>12</v>
      </c>
      <c r="Q10" s="51">
        <f t="shared" si="0"/>
        <v>12</v>
      </c>
      <c r="R10" s="51">
        <f t="shared" si="0"/>
        <v>12</v>
      </c>
      <c r="S10" s="51">
        <f t="shared" si="0"/>
        <v>12</v>
      </c>
      <c r="T10" s="51">
        <f t="shared" si="0"/>
        <v>12</v>
      </c>
      <c r="U10" s="51">
        <f t="shared" si="0"/>
        <v>12</v>
      </c>
      <c r="V10" s="51">
        <f t="shared" si="0"/>
        <v>12</v>
      </c>
    </row>
    <row r="11" spans="1:22" s="63" customFormat="1" x14ac:dyDescent="0.25">
      <c r="A11" s="60"/>
      <c r="B11" s="61"/>
      <c r="C11" s="62"/>
      <c r="D11" s="62"/>
      <c r="E11" s="62"/>
      <c r="F11" s="62"/>
      <c r="G11" s="62"/>
      <c r="H11" s="62"/>
      <c r="I11" s="62"/>
      <c r="J11" s="62"/>
      <c r="K11" s="62"/>
      <c r="L11" s="62"/>
      <c r="M11" s="62"/>
      <c r="N11" s="62"/>
      <c r="O11" s="62"/>
      <c r="P11" s="62"/>
      <c r="Q11" s="62"/>
      <c r="R11" s="62"/>
      <c r="S11" s="62"/>
      <c r="T11" s="62"/>
      <c r="U11" s="62"/>
      <c r="V11" s="62"/>
    </row>
    <row r="12" spans="1:22" s="63" customFormat="1" x14ac:dyDescent="0.25">
      <c r="A12" s="60"/>
      <c r="B12" s="61"/>
      <c r="C12" s="62"/>
      <c r="D12" s="62"/>
      <c r="E12" s="62"/>
      <c r="F12" s="62"/>
      <c r="G12" s="62"/>
      <c r="H12" s="62"/>
      <c r="I12" s="62"/>
      <c r="J12" s="62"/>
      <c r="K12" s="62"/>
      <c r="L12" s="62"/>
      <c r="M12" s="62"/>
      <c r="N12" s="62"/>
      <c r="O12" s="62"/>
      <c r="P12" s="62"/>
      <c r="Q12" s="62"/>
      <c r="R12" s="62"/>
      <c r="S12" s="62"/>
      <c r="T12" s="62"/>
      <c r="U12" s="62"/>
      <c r="V12" s="62"/>
    </row>
    <row r="13" spans="1:22" s="2" customFormat="1" x14ac:dyDescent="0.25">
      <c r="A13" s="30" t="s">
        <v>16</v>
      </c>
      <c r="B13" s="30" t="s">
        <v>82</v>
      </c>
      <c r="C13" s="30">
        <v>2021</v>
      </c>
      <c r="D13" s="31">
        <v>2022</v>
      </c>
      <c r="E13" s="30">
        <v>2023</v>
      </c>
      <c r="F13" s="31">
        <v>2024</v>
      </c>
      <c r="G13" s="30">
        <v>2025</v>
      </c>
      <c r="H13" s="31">
        <v>2026</v>
      </c>
      <c r="I13" s="30">
        <v>2027</v>
      </c>
      <c r="J13" s="31">
        <v>2028</v>
      </c>
      <c r="K13" s="30">
        <v>2029</v>
      </c>
      <c r="L13" s="31">
        <v>2030</v>
      </c>
      <c r="M13" s="30">
        <v>2031</v>
      </c>
      <c r="N13" s="31">
        <v>2032</v>
      </c>
      <c r="O13" s="30">
        <v>2033</v>
      </c>
      <c r="P13" s="31">
        <v>2034</v>
      </c>
      <c r="Q13" s="30">
        <v>2035</v>
      </c>
      <c r="R13" s="31">
        <v>2036</v>
      </c>
      <c r="S13" s="30">
        <v>2037</v>
      </c>
      <c r="T13" s="31">
        <v>2038</v>
      </c>
      <c r="U13" s="30">
        <v>2039</v>
      </c>
      <c r="V13" s="31">
        <v>2040</v>
      </c>
    </row>
    <row r="14" spans="1:22" s="2" customFormat="1" ht="14.4" customHeight="1" x14ac:dyDescent="0.25">
      <c r="A14" s="513" t="s">
        <v>86</v>
      </c>
      <c r="B14" s="33" t="s">
        <v>43</v>
      </c>
      <c r="C14" s="37">
        <v>0</v>
      </c>
      <c r="D14" s="37">
        <f t="shared" ref="D14:V14" si="1">$C2-D2</f>
        <v>0</v>
      </c>
      <c r="E14" s="37">
        <f t="shared" si="1"/>
        <v>0</v>
      </c>
      <c r="F14" s="37">
        <f t="shared" si="1"/>
        <v>0</v>
      </c>
      <c r="G14" s="37">
        <f t="shared" si="1"/>
        <v>0</v>
      </c>
      <c r="H14" s="37">
        <f t="shared" si="1"/>
        <v>0</v>
      </c>
      <c r="I14" s="37">
        <f t="shared" si="1"/>
        <v>0</v>
      </c>
      <c r="J14" s="37">
        <f t="shared" si="1"/>
        <v>0</v>
      </c>
      <c r="K14" s="37">
        <f t="shared" si="1"/>
        <v>0</v>
      </c>
      <c r="L14" s="37">
        <f t="shared" si="1"/>
        <v>0</v>
      </c>
      <c r="M14" s="37">
        <f t="shared" si="1"/>
        <v>2</v>
      </c>
      <c r="N14" s="37">
        <f t="shared" si="1"/>
        <v>2</v>
      </c>
      <c r="O14" s="37">
        <f t="shared" si="1"/>
        <v>2</v>
      </c>
      <c r="P14" s="37">
        <f t="shared" si="1"/>
        <v>2</v>
      </c>
      <c r="Q14" s="37">
        <f t="shared" si="1"/>
        <v>2</v>
      </c>
      <c r="R14" s="37">
        <f t="shared" si="1"/>
        <v>2</v>
      </c>
      <c r="S14" s="37">
        <f t="shared" si="1"/>
        <v>2</v>
      </c>
      <c r="T14" s="37">
        <f t="shared" si="1"/>
        <v>2</v>
      </c>
      <c r="U14" s="37">
        <f t="shared" si="1"/>
        <v>2</v>
      </c>
      <c r="V14" s="37">
        <f t="shared" si="1"/>
        <v>2</v>
      </c>
    </row>
    <row r="15" spans="1:22" s="2" customFormat="1" x14ac:dyDescent="0.25">
      <c r="A15" s="513"/>
      <c r="B15" s="33" t="s">
        <v>41</v>
      </c>
      <c r="C15" s="37">
        <v>0</v>
      </c>
      <c r="D15" s="37">
        <f t="shared" ref="D15:V15" si="2">$C3-D3</f>
        <v>2</v>
      </c>
      <c r="E15" s="37">
        <f t="shared" si="2"/>
        <v>3</v>
      </c>
      <c r="F15" s="37">
        <f t="shared" si="2"/>
        <v>5</v>
      </c>
      <c r="G15" s="37">
        <f t="shared" si="2"/>
        <v>8</v>
      </c>
      <c r="H15" s="37">
        <f t="shared" si="2"/>
        <v>11</v>
      </c>
      <c r="I15" s="37">
        <f t="shared" si="2"/>
        <v>14</v>
      </c>
      <c r="J15" s="37">
        <f t="shared" si="2"/>
        <v>16</v>
      </c>
      <c r="K15" s="37">
        <f t="shared" si="2"/>
        <v>16</v>
      </c>
      <c r="L15" s="37">
        <f t="shared" si="2"/>
        <v>16</v>
      </c>
      <c r="M15" s="37">
        <f t="shared" si="2"/>
        <v>16</v>
      </c>
      <c r="N15" s="37">
        <f t="shared" si="2"/>
        <v>16</v>
      </c>
      <c r="O15" s="37">
        <f t="shared" si="2"/>
        <v>16</v>
      </c>
      <c r="P15" s="37">
        <f t="shared" si="2"/>
        <v>16</v>
      </c>
      <c r="Q15" s="37">
        <f t="shared" si="2"/>
        <v>16</v>
      </c>
      <c r="R15" s="37">
        <f t="shared" si="2"/>
        <v>16</v>
      </c>
      <c r="S15" s="37">
        <f t="shared" si="2"/>
        <v>16</v>
      </c>
      <c r="T15" s="37">
        <f t="shared" si="2"/>
        <v>16</v>
      </c>
      <c r="U15" s="37">
        <f t="shared" si="2"/>
        <v>16</v>
      </c>
      <c r="V15" s="37">
        <f t="shared" si="2"/>
        <v>16</v>
      </c>
    </row>
    <row r="16" spans="1:22" s="2" customFormat="1" x14ac:dyDescent="0.25">
      <c r="A16" s="513"/>
      <c r="B16" s="33" t="s">
        <v>40</v>
      </c>
      <c r="C16" s="37">
        <v>0</v>
      </c>
      <c r="D16" s="37">
        <f t="shared" ref="D16:V16" si="3">$C4-D4</f>
        <v>0</v>
      </c>
      <c r="E16" s="37">
        <f t="shared" si="3"/>
        <v>4</v>
      </c>
      <c r="F16" s="37">
        <f t="shared" si="3"/>
        <v>4</v>
      </c>
      <c r="G16" s="37">
        <f t="shared" si="3"/>
        <v>4</v>
      </c>
      <c r="H16" s="37">
        <f t="shared" si="3"/>
        <v>4</v>
      </c>
      <c r="I16" s="37">
        <f t="shared" si="3"/>
        <v>4</v>
      </c>
      <c r="J16" s="37">
        <f t="shared" si="3"/>
        <v>4</v>
      </c>
      <c r="K16" s="37">
        <f t="shared" si="3"/>
        <v>4</v>
      </c>
      <c r="L16" s="37">
        <f t="shared" si="3"/>
        <v>4</v>
      </c>
      <c r="M16" s="37">
        <f t="shared" si="3"/>
        <v>4</v>
      </c>
      <c r="N16" s="37">
        <f t="shared" si="3"/>
        <v>4</v>
      </c>
      <c r="O16" s="37">
        <f t="shared" si="3"/>
        <v>4</v>
      </c>
      <c r="P16" s="37">
        <f t="shared" si="3"/>
        <v>4</v>
      </c>
      <c r="Q16" s="37">
        <f t="shared" si="3"/>
        <v>4</v>
      </c>
      <c r="R16" s="37">
        <f t="shared" si="3"/>
        <v>4</v>
      </c>
      <c r="S16" s="37">
        <f t="shared" si="3"/>
        <v>4</v>
      </c>
      <c r="T16" s="37">
        <f t="shared" si="3"/>
        <v>4</v>
      </c>
      <c r="U16" s="37">
        <f t="shared" si="3"/>
        <v>4</v>
      </c>
      <c r="V16" s="37">
        <f t="shared" si="3"/>
        <v>4</v>
      </c>
    </row>
    <row r="17" spans="1:22" s="2" customFormat="1" x14ac:dyDescent="0.25">
      <c r="A17" s="513"/>
      <c r="B17" s="33" t="s">
        <v>80</v>
      </c>
      <c r="C17" s="37">
        <v>0</v>
      </c>
      <c r="D17" s="37">
        <f t="shared" ref="D17:V17" si="4">$C5-D5</f>
        <v>0</v>
      </c>
      <c r="E17" s="37">
        <f t="shared" si="4"/>
        <v>0</v>
      </c>
      <c r="F17" s="37">
        <f t="shared" si="4"/>
        <v>0</v>
      </c>
      <c r="G17" s="37">
        <f t="shared" si="4"/>
        <v>0</v>
      </c>
      <c r="H17" s="37">
        <f t="shared" si="4"/>
        <v>0</v>
      </c>
      <c r="I17" s="37">
        <f t="shared" si="4"/>
        <v>0</v>
      </c>
      <c r="J17" s="37">
        <f t="shared" si="4"/>
        <v>0</v>
      </c>
      <c r="K17" s="37">
        <f t="shared" si="4"/>
        <v>0</v>
      </c>
      <c r="L17" s="37">
        <f t="shared" si="4"/>
        <v>0</v>
      </c>
      <c r="M17" s="37">
        <f t="shared" si="4"/>
        <v>0</v>
      </c>
      <c r="N17" s="37">
        <f t="shared" si="4"/>
        <v>0</v>
      </c>
      <c r="O17" s="37">
        <f t="shared" si="4"/>
        <v>0</v>
      </c>
      <c r="P17" s="37">
        <f t="shared" si="4"/>
        <v>0</v>
      </c>
      <c r="Q17" s="37">
        <f t="shared" si="4"/>
        <v>0</v>
      </c>
      <c r="R17" s="37">
        <f t="shared" si="4"/>
        <v>0</v>
      </c>
      <c r="S17" s="37">
        <f t="shared" si="4"/>
        <v>0</v>
      </c>
      <c r="T17" s="37">
        <f t="shared" si="4"/>
        <v>0</v>
      </c>
      <c r="U17" s="37">
        <f t="shared" si="4"/>
        <v>0</v>
      </c>
      <c r="V17" s="37">
        <f t="shared" si="4"/>
        <v>0</v>
      </c>
    </row>
    <row r="18" spans="1:22" s="2" customFormat="1" x14ac:dyDescent="0.25">
      <c r="A18" s="513"/>
      <c r="B18" s="33" t="s">
        <v>44</v>
      </c>
      <c r="C18" s="37">
        <v>0</v>
      </c>
      <c r="D18" s="37">
        <f t="shared" ref="D18:V18" si="5">$C6-D6</f>
        <v>0</v>
      </c>
      <c r="E18" s="37">
        <f t="shared" si="5"/>
        <v>0</v>
      </c>
      <c r="F18" s="37">
        <f t="shared" si="5"/>
        <v>0</v>
      </c>
      <c r="G18" s="37">
        <f t="shared" si="5"/>
        <v>1</v>
      </c>
      <c r="H18" s="37">
        <f t="shared" si="5"/>
        <v>1</v>
      </c>
      <c r="I18" s="37">
        <f t="shared" si="5"/>
        <v>1</v>
      </c>
      <c r="J18" s="37">
        <f t="shared" si="5"/>
        <v>1</v>
      </c>
      <c r="K18" s="37">
        <f t="shared" si="5"/>
        <v>1</v>
      </c>
      <c r="L18" s="37">
        <f t="shared" si="5"/>
        <v>1</v>
      </c>
      <c r="M18" s="37">
        <f t="shared" si="5"/>
        <v>1</v>
      </c>
      <c r="N18" s="37">
        <f t="shared" si="5"/>
        <v>1</v>
      </c>
      <c r="O18" s="37">
        <f t="shared" si="5"/>
        <v>1</v>
      </c>
      <c r="P18" s="37">
        <f t="shared" si="5"/>
        <v>1</v>
      </c>
      <c r="Q18" s="37">
        <f t="shared" si="5"/>
        <v>1</v>
      </c>
      <c r="R18" s="37">
        <f t="shared" si="5"/>
        <v>1</v>
      </c>
      <c r="S18" s="37">
        <f t="shared" si="5"/>
        <v>1</v>
      </c>
      <c r="T18" s="37">
        <f t="shared" si="5"/>
        <v>1</v>
      </c>
      <c r="U18" s="37">
        <f t="shared" si="5"/>
        <v>1</v>
      </c>
      <c r="V18" s="37">
        <f t="shared" si="5"/>
        <v>1</v>
      </c>
    </row>
    <row r="19" spans="1:22" s="2" customFormat="1" x14ac:dyDescent="0.25">
      <c r="A19" s="513"/>
      <c r="B19" s="33" t="s">
        <v>81</v>
      </c>
      <c r="C19" s="37">
        <v>0</v>
      </c>
      <c r="D19" s="37">
        <f t="shared" ref="D19:V19" si="6">$C7-D7</f>
        <v>0</v>
      </c>
      <c r="E19" s="37">
        <f t="shared" si="6"/>
        <v>0</v>
      </c>
      <c r="F19" s="37">
        <f t="shared" si="6"/>
        <v>0</v>
      </c>
      <c r="G19" s="37">
        <f t="shared" si="6"/>
        <v>0</v>
      </c>
      <c r="H19" s="37">
        <f t="shared" si="6"/>
        <v>0</v>
      </c>
      <c r="I19" s="37">
        <f t="shared" si="6"/>
        <v>0</v>
      </c>
      <c r="J19" s="37">
        <f t="shared" si="6"/>
        <v>0</v>
      </c>
      <c r="K19" s="37">
        <f t="shared" si="6"/>
        <v>0</v>
      </c>
      <c r="L19" s="37">
        <f t="shared" si="6"/>
        <v>0</v>
      </c>
      <c r="M19" s="37">
        <f t="shared" si="6"/>
        <v>0</v>
      </c>
      <c r="N19" s="37">
        <f t="shared" si="6"/>
        <v>0</v>
      </c>
      <c r="O19" s="37">
        <f t="shared" si="6"/>
        <v>0</v>
      </c>
      <c r="P19" s="37">
        <f t="shared" si="6"/>
        <v>0</v>
      </c>
      <c r="Q19" s="37">
        <f t="shared" si="6"/>
        <v>0</v>
      </c>
      <c r="R19" s="37">
        <f t="shared" si="6"/>
        <v>0</v>
      </c>
      <c r="S19" s="37">
        <f t="shared" si="6"/>
        <v>0</v>
      </c>
      <c r="T19" s="37">
        <f t="shared" si="6"/>
        <v>0</v>
      </c>
      <c r="U19" s="37">
        <f t="shared" si="6"/>
        <v>0</v>
      </c>
      <c r="V19" s="37">
        <f t="shared" si="6"/>
        <v>0</v>
      </c>
    </row>
    <row r="20" spans="1:22" s="2" customFormat="1" x14ac:dyDescent="0.25">
      <c r="A20" s="513"/>
      <c r="B20" s="33" t="s">
        <v>42</v>
      </c>
      <c r="C20" s="37">
        <v>0</v>
      </c>
      <c r="D20" s="37">
        <f t="shared" ref="D20:V20" si="7">$C8-D8</f>
        <v>0</v>
      </c>
      <c r="E20" s="37">
        <f t="shared" si="7"/>
        <v>0</v>
      </c>
      <c r="F20" s="37">
        <f t="shared" si="7"/>
        <v>0</v>
      </c>
      <c r="G20" s="37">
        <f t="shared" si="7"/>
        <v>1</v>
      </c>
      <c r="H20" s="37">
        <f t="shared" si="7"/>
        <v>1</v>
      </c>
      <c r="I20" s="37">
        <f t="shared" si="7"/>
        <v>1</v>
      </c>
      <c r="J20" s="37">
        <f t="shared" si="7"/>
        <v>1</v>
      </c>
      <c r="K20" s="37">
        <f t="shared" si="7"/>
        <v>1</v>
      </c>
      <c r="L20" s="37">
        <f t="shared" si="7"/>
        <v>1</v>
      </c>
      <c r="M20" s="37">
        <f t="shared" si="7"/>
        <v>1</v>
      </c>
      <c r="N20" s="37">
        <f t="shared" si="7"/>
        <v>1</v>
      </c>
      <c r="O20" s="37">
        <f t="shared" si="7"/>
        <v>1</v>
      </c>
      <c r="P20" s="37">
        <f t="shared" si="7"/>
        <v>1</v>
      </c>
      <c r="Q20" s="37">
        <f t="shared" si="7"/>
        <v>1</v>
      </c>
      <c r="R20" s="37">
        <f t="shared" si="7"/>
        <v>1</v>
      </c>
      <c r="S20" s="37">
        <f t="shared" si="7"/>
        <v>1</v>
      </c>
      <c r="T20" s="37">
        <f t="shared" si="7"/>
        <v>1</v>
      </c>
      <c r="U20" s="37">
        <f t="shared" si="7"/>
        <v>1</v>
      </c>
      <c r="V20" s="37">
        <f t="shared" si="7"/>
        <v>1</v>
      </c>
    </row>
    <row r="21" spans="1:22" s="2" customFormat="1" x14ac:dyDescent="0.25">
      <c r="A21" s="513"/>
      <c r="B21" s="33" t="s">
        <v>45</v>
      </c>
      <c r="C21" s="37">
        <v>0</v>
      </c>
      <c r="D21" s="37">
        <f t="shared" ref="D21:V21" si="8">$C9-D9</f>
        <v>1</v>
      </c>
      <c r="E21" s="37">
        <f t="shared" si="8"/>
        <v>1</v>
      </c>
      <c r="F21" s="37">
        <f t="shared" si="8"/>
        <v>1</v>
      </c>
      <c r="G21" s="37">
        <f t="shared" si="8"/>
        <v>1</v>
      </c>
      <c r="H21" s="37">
        <f t="shared" si="8"/>
        <v>2</v>
      </c>
      <c r="I21" s="37">
        <f t="shared" si="8"/>
        <v>2</v>
      </c>
      <c r="J21" s="37">
        <f t="shared" si="8"/>
        <v>2</v>
      </c>
      <c r="K21" s="37">
        <f t="shared" si="8"/>
        <v>2</v>
      </c>
      <c r="L21" s="37">
        <f t="shared" si="8"/>
        <v>2</v>
      </c>
      <c r="M21" s="37">
        <f t="shared" si="8"/>
        <v>2</v>
      </c>
      <c r="N21" s="37">
        <f t="shared" si="8"/>
        <v>2</v>
      </c>
      <c r="O21" s="37">
        <f t="shared" si="8"/>
        <v>2</v>
      </c>
      <c r="P21" s="37">
        <f t="shared" si="8"/>
        <v>2</v>
      </c>
      <c r="Q21" s="37">
        <f t="shared" si="8"/>
        <v>2</v>
      </c>
      <c r="R21" s="37">
        <f t="shared" si="8"/>
        <v>2</v>
      </c>
      <c r="S21" s="37">
        <f t="shared" si="8"/>
        <v>2</v>
      </c>
      <c r="T21" s="37">
        <f t="shared" si="8"/>
        <v>2</v>
      </c>
      <c r="U21" s="37">
        <f t="shared" si="8"/>
        <v>2</v>
      </c>
      <c r="V21" s="37">
        <f t="shared" si="8"/>
        <v>2</v>
      </c>
    </row>
    <row r="22" spans="1:22" s="2" customFormat="1" x14ac:dyDescent="0.25">
      <c r="A22" s="513"/>
      <c r="B22" s="50" t="s">
        <v>84</v>
      </c>
      <c r="C22" s="51">
        <f>SUM(C14:C21)</f>
        <v>0</v>
      </c>
      <c r="D22" s="51">
        <f t="shared" ref="D22:V22" si="9">SUM(D14:D21)</f>
        <v>3</v>
      </c>
      <c r="E22" s="51">
        <f t="shared" si="9"/>
        <v>8</v>
      </c>
      <c r="F22" s="51">
        <f t="shared" si="9"/>
        <v>10</v>
      </c>
      <c r="G22" s="51">
        <f t="shared" si="9"/>
        <v>15</v>
      </c>
      <c r="H22" s="51">
        <f t="shared" si="9"/>
        <v>19</v>
      </c>
      <c r="I22" s="51">
        <f t="shared" si="9"/>
        <v>22</v>
      </c>
      <c r="J22" s="51">
        <f t="shared" si="9"/>
        <v>24</v>
      </c>
      <c r="K22" s="51">
        <f t="shared" si="9"/>
        <v>24</v>
      </c>
      <c r="L22" s="51">
        <f t="shared" si="9"/>
        <v>24</v>
      </c>
      <c r="M22" s="51">
        <f t="shared" si="9"/>
        <v>26</v>
      </c>
      <c r="N22" s="51">
        <f t="shared" si="9"/>
        <v>26</v>
      </c>
      <c r="O22" s="51">
        <f t="shared" si="9"/>
        <v>26</v>
      </c>
      <c r="P22" s="51">
        <f t="shared" si="9"/>
        <v>26</v>
      </c>
      <c r="Q22" s="51">
        <f t="shared" si="9"/>
        <v>26</v>
      </c>
      <c r="R22" s="51">
        <f t="shared" si="9"/>
        <v>26</v>
      </c>
      <c r="S22" s="51">
        <f t="shared" si="9"/>
        <v>26</v>
      </c>
      <c r="T22" s="51">
        <f t="shared" si="9"/>
        <v>26</v>
      </c>
      <c r="U22" s="51">
        <f t="shared" si="9"/>
        <v>26</v>
      </c>
      <c r="V22" s="51">
        <f t="shared" si="9"/>
        <v>26</v>
      </c>
    </row>
    <row r="23" spans="1:22" s="66" customFormat="1" x14ac:dyDescent="0.25">
      <c r="A23" s="64"/>
      <c r="B23" s="65"/>
      <c r="C23" s="62"/>
      <c r="D23" s="62"/>
      <c r="E23" s="62"/>
      <c r="F23" s="62"/>
      <c r="G23" s="62"/>
      <c r="H23" s="62"/>
      <c r="I23" s="62"/>
      <c r="J23" s="62"/>
      <c r="K23" s="62"/>
      <c r="L23" s="62"/>
      <c r="M23" s="62"/>
      <c r="N23" s="62"/>
      <c r="O23" s="62"/>
      <c r="P23" s="62"/>
      <c r="Q23" s="62"/>
      <c r="R23" s="62"/>
      <c r="S23" s="62"/>
      <c r="T23" s="62"/>
      <c r="U23" s="62"/>
      <c r="V23" s="62"/>
    </row>
    <row r="24" spans="1:22" x14ac:dyDescent="0.25">
      <c r="A24" s="514" t="s">
        <v>125</v>
      </c>
      <c r="B24" s="514"/>
      <c r="C24" s="62"/>
      <c r="D24" s="62"/>
      <c r="E24" s="62"/>
      <c r="F24" s="62"/>
      <c r="G24" s="62"/>
      <c r="H24" s="62"/>
      <c r="I24" s="62"/>
      <c r="J24" s="62"/>
      <c r="K24" s="62"/>
      <c r="L24" s="62"/>
      <c r="M24" s="62"/>
      <c r="N24" s="62"/>
      <c r="O24" s="62"/>
      <c r="P24" s="62"/>
      <c r="Q24" s="62"/>
      <c r="R24" s="62"/>
      <c r="S24" s="62"/>
      <c r="T24" s="62"/>
      <c r="U24" s="62"/>
      <c r="V24" s="62"/>
    </row>
    <row r="25" spans="1:22" s="2" customFormat="1" x14ac:dyDescent="0.25">
      <c r="A25" s="30" t="s">
        <v>16</v>
      </c>
      <c r="B25" s="30" t="s">
        <v>82</v>
      </c>
      <c r="C25" s="30">
        <v>2021</v>
      </c>
      <c r="D25" s="31">
        <v>2022</v>
      </c>
      <c r="E25" s="30">
        <v>2023</v>
      </c>
      <c r="F25" s="31">
        <v>2024</v>
      </c>
      <c r="G25" s="30">
        <v>2025</v>
      </c>
      <c r="H25" s="31">
        <v>2026</v>
      </c>
      <c r="I25" s="30">
        <v>2027</v>
      </c>
      <c r="J25" s="31">
        <v>2028</v>
      </c>
      <c r="K25" s="30">
        <v>2029</v>
      </c>
      <c r="L25" s="31">
        <v>2030</v>
      </c>
      <c r="M25" s="30">
        <v>2031</v>
      </c>
      <c r="N25" s="31">
        <v>2032</v>
      </c>
      <c r="O25" s="30">
        <v>2033</v>
      </c>
      <c r="P25" s="31">
        <v>2034</v>
      </c>
      <c r="Q25" s="30">
        <v>2035</v>
      </c>
      <c r="R25" s="31">
        <v>2036</v>
      </c>
      <c r="S25" s="30">
        <v>2037</v>
      </c>
      <c r="T25" s="31">
        <v>2038</v>
      </c>
      <c r="U25" s="30">
        <v>2039</v>
      </c>
      <c r="V25" s="31">
        <v>2040</v>
      </c>
    </row>
    <row r="26" spans="1:22" s="2" customFormat="1" ht="14.4" customHeight="1" x14ac:dyDescent="0.25">
      <c r="A26" s="513" t="s">
        <v>94</v>
      </c>
      <c r="B26" s="33" t="s">
        <v>43</v>
      </c>
      <c r="C26" s="52">
        <f>(Historical_Cost!$D19-SUM($V2,$V14))/COUNTA($C$25:$L$25)</f>
        <v>-0.5</v>
      </c>
      <c r="D26" s="52">
        <f>C26+(Historical_Cost!$D19-SUM($V2,$V14))/COUNTA($C$25:$L$25)</f>
        <v>-1</v>
      </c>
      <c r="E26" s="52">
        <f>D26+(Historical_Cost!$D19-SUM($V2,$V14))/COUNTA($C$25:$L$25)</f>
        <v>-1.5</v>
      </c>
      <c r="F26" s="52">
        <f>E26+(Historical_Cost!$D19-SUM($V2,$V14))/COUNTA($C$25:$L$25)</f>
        <v>-2</v>
      </c>
      <c r="G26" s="52">
        <f>F26+(Historical_Cost!$D19-SUM($V2,$V14))/COUNTA($C$25:$L$25)</f>
        <v>-2.5</v>
      </c>
      <c r="H26" s="52">
        <f>G26+(Historical_Cost!$D19-SUM($V2,$V14))/COUNTA($C$25:$L$25)</f>
        <v>-3</v>
      </c>
      <c r="I26" s="52">
        <f>H26+(Historical_Cost!$D19-SUM($V2,$V14))/COUNTA($C$25:$L$25)</f>
        <v>-3.5</v>
      </c>
      <c r="J26" s="52">
        <f>I26+(Historical_Cost!$D19-SUM($V2,$V14))/COUNTA($C$25:$L$25)</f>
        <v>-4</v>
      </c>
      <c r="K26" s="52">
        <f>J26+(Historical_Cost!$D19-SUM($V2,$V14))/COUNTA($C$25:$L$25)</f>
        <v>-4.5</v>
      </c>
      <c r="L26" s="52">
        <f>K26+(Historical_Cost!$D19-SUM($V2,$V14))/COUNTA($C$25:$L$25)</f>
        <v>-5</v>
      </c>
      <c r="M26" s="37">
        <f>L26</f>
        <v>-5</v>
      </c>
      <c r="N26" s="37">
        <f t="shared" ref="N26:V26" si="10">M26</f>
        <v>-5</v>
      </c>
      <c r="O26" s="37">
        <f t="shared" si="10"/>
        <v>-5</v>
      </c>
      <c r="P26" s="37">
        <f t="shared" si="10"/>
        <v>-5</v>
      </c>
      <c r="Q26" s="37">
        <f t="shared" si="10"/>
        <v>-5</v>
      </c>
      <c r="R26" s="37">
        <f t="shared" si="10"/>
        <v>-5</v>
      </c>
      <c r="S26" s="37">
        <f t="shared" si="10"/>
        <v>-5</v>
      </c>
      <c r="T26" s="37">
        <f t="shared" si="10"/>
        <v>-5</v>
      </c>
      <c r="U26" s="37">
        <f t="shared" si="10"/>
        <v>-5</v>
      </c>
      <c r="V26" s="37">
        <f t="shared" si="10"/>
        <v>-5</v>
      </c>
    </row>
    <row r="27" spans="1:22" s="2" customFormat="1" x14ac:dyDescent="0.25">
      <c r="A27" s="513"/>
      <c r="B27" s="33" t="s">
        <v>41</v>
      </c>
      <c r="C27" s="52">
        <f>(Historical_Cost!$D20-SUM($V3,$V15))/COUNTA($C$25:$L$25)</f>
        <v>-0.3</v>
      </c>
      <c r="D27" s="52">
        <f>C27+(Historical_Cost!$D20-SUM($V3,$V15))/COUNTA($C$25:$L$25)</f>
        <v>-0.6</v>
      </c>
      <c r="E27" s="52">
        <f>D27+(Historical_Cost!$D20-SUM($V3,$V15))/COUNTA($C$25:$L$25)</f>
        <v>-0.89999999999999991</v>
      </c>
      <c r="F27" s="52">
        <f>E27+(Historical_Cost!$D20-SUM($V3,$V15))/COUNTA($C$25:$L$25)</f>
        <v>-1.2</v>
      </c>
      <c r="G27" s="52">
        <f>F27+(Historical_Cost!$D20-SUM($V3,$V15))/COUNTA($C$25:$L$25)</f>
        <v>-1.5</v>
      </c>
      <c r="H27" s="52">
        <f>G27+(Historical_Cost!$D20-SUM($V3,$V15))/COUNTA($C$25:$L$25)</f>
        <v>-1.8</v>
      </c>
      <c r="I27" s="52">
        <f>H27+(Historical_Cost!$D20-SUM($V3,$V15))/COUNTA($C$25:$L$25)</f>
        <v>-2.1</v>
      </c>
      <c r="J27" s="52">
        <f>I27+(Historical_Cost!$D20-SUM($V3,$V15))/COUNTA($C$25:$L$25)</f>
        <v>-2.4</v>
      </c>
      <c r="K27" s="52">
        <f>J27+(Historical_Cost!$D20-SUM($V3,$V15))/COUNTA($C$25:$L$25)</f>
        <v>-2.6999999999999997</v>
      </c>
      <c r="L27" s="52">
        <f>K27+(Historical_Cost!$D20-SUM($V3,$V15))/COUNTA($C$25:$L$25)</f>
        <v>-2.9999999999999996</v>
      </c>
      <c r="M27" s="37">
        <f t="shared" ref="M27:V33" si="11">L27</f>
        <v>-2.9999999999999996</v>
      </c>
      <c r="N27" s="37">
        <f t="shared" si="11"/>
        <v>-2.9999999999999996</v>
      </c>
      <c r="O27" s="37">
        <f t="shared" si="11"/>
        <v>-2.9999999999999996</v>
      </c>
      <c r="P27" s="37">
        <f t="shared" si="11"/>
        <v>-2.9999999999999996</v>
      </c>
      <c r="Q27" s="37">
        <f t="shared" si="11"/>
        <v>-2.9999999999999996</v>
      </c>
      <c r="R27" s="37">
        <f t="shared" si="11"/>
        <v>-2.9999999999999996</v>
      </c>
      <c r="S27" s="37">
        <f t="shared" si="11"/>
        <v>-2.9999999999999996</v>
      </c>
      <c r="T27" s="37">
        <f t="shared" si="11"/>
        <v>-2.9999999999999996</v>
      </c>
      <c r="U27" s="37">
        <f t="shared" si="11"/>
        <v>-2.9999999999999996</v>
      </c>
      <c r="V27" s="37">
        <f t="shared" si="11"/>
        <v>-2.9999999999999996</v>
      </c>
    </row>
    <row r="28" spans="1:22" s="2" customFormat="1" x14ac:dyDescent="0.25">
      <c r="A28" s="513"/>
      <c r="B28" s="33" t="s">
        <v>40</v>
      </c>
      <c r="C28" s="52">
        <f>(Historical_Cost!$D21-SUM($V4,$V16))/COUNTA($C$25:$L$25)</f>
        <v>-0.1</v>
      </c>
      <c r="D28" s="52">
        <f>C28+(Historical_Cost!$D21-SUM($V4,$V16))/COUNTA($C$25:$L$25)</f>
        <v>-0.2</v>
      </c>
      <c r="E28" s="52">
        <f>D28+(Historical_Cost!$D21-SUM($V4,$V16))/COUNTA($C$25:$L$25)</f>
        <v>-0.30000000000000004</v>
      </c>
      <c r="F28" s="52">
        <f>E28+(Historical_Cost!$D21-SUM($V4,$V16))/COUNTA($C$25:$L$25)</f>
        <v>-0.4</v>
      </c>
      <c r="G28" s="52">
        <f>F28+(Historical_Cost!$D21-SUM($V4,$V16))/COUNTA($C$25:$L$25)</f>
        <v>-0.5</v>
      </c>
      <c r="H28" s="52">
        <f>G28+(Historical_Cost!$D21-SUM($V4,$V16))/COUNTA($C$25:$L$25)</f>
        <v>-0.6</v>
      </c>
      <c r="I28" s="52">
        <f>H28+(Historical_Cost!$D21-SUM($V4,$V16))/COUNTA($C$25:$L$25)</f>
        <v>-0.7</v>
      </c>
      <c r="J28" s="52">
        <f>I28+(Historical_Cost!$D21-SUM($V4,$V16))/COUNTA($C$25:$L$25)</f>
        <v>-0.79999999999999993</v>
      </c>
      <c r="K28" s="52">
        <f>J28+(Historical_Cost!$D21-SUM($V4,$V16))/COUNTA($C$25:$L$25)</f>
        <v>-0.89999999999999991</v>
      </c>
      <c r="L28" s="52">
        <f>K28+(Historical_Cost!$D21-SUM($V4,$V16))/COUNTA($C$25:$L$25)</f>
        <v>-0.99999999999999989</v>
      </c>
      <c r="M28" s="37">
        <f t="shared" si="11"/>
        <v>-0.99999999999999989</v>
      </c>
      <c r="N28" s="37">
        <f t="shared" si="11"/>
        <v>-0.99999999999999989</v>
      </c>
      <c r="O28" s="37">
        <f t="shared" si="11"/>
        <v>-0.99999999999999989</v>
      </c>
      <c r="P28" s="37">
        <f t="shared" si="11"/>
        <v>-0.99999999999999989</v>
      </c>
      <c r="Q28" s="37">
        <f t="shared" si="11"/>
        <v>-0.99999999999999989</v>
      </c>
      <c r="R28" s="37">
        <f t="shared" si="11"/>
        <v>-0.99999999999999989</v>
      </c>
      <c r="S28" s="37">
        <f t="shared" si="11"/>
        <v>-0.99999999999999989</v>
      </c>
      <c r="T28" s="37">
        <f t="shared" si="11"/>
        <v>-0.99999999999999989</v>
      </c>
      <c r="U28" s="37">
        <f t="shared" si="11"/>
        <v>-0.99999999999999989</v>
      </c>
      <c r="V28" s="37">
        <f t="shared" si="11"/>
        <v>-0.99999999999999989</v>
      </c>
    </row>
    <row r="29" spans="1:22" s="2" customFormat="1" x14ac:dyDescent="0.25">
      <c r="A29" s="513"/>
      <c r="B29" s="33" t="s">
        <v>80</v>
      </c>
      <c r="C29" s="52">
        <f>(Historical_Cost!$D22-SUM($V5,$V17))/COUNTA($C$25:$L$25)</f>
        <v>0</v>
      </c>
      <c r="D29" s="52">
        <f>C29+(Historical_Cost!$D22-SUM($V5,$V17))/COUNTA($C$25:$L$25)</f>
        <v>0</v>
      </c>
      <c r="E29" s="52">
        <f>D29+(Historical_Cost!$D22-SUM($V5,$V17))/COUNTA($C$25:$L$25)</f>
        <v>0</v>
      </c>
      <c r="F29" s="52">
        <f>E29+(Historical_Cost!$D22-SUM($V5,$V17))/COUNTA($C$25:$L$25)</f>
        <v>0</v>
      </c>
      <c r="G29" s="52">
        <f>F29+(Historical_Cost!$D22-SUM($V5,$V17))/COUNTA($C$25:$L$25)</f>
        <v>0</v>
      </c>
      <c r="H29" s="52">
        <f>G29+(Historical_Cost!$D22-SUM($V5,$V17))/COUNTA($C$25:$L$25)</f>
        <v>0</v>
      </c>
      <c r="I29" s="52">
        <f>H29+(Historical_Cost!$D22-SUM($V5,$V17))/COUNTA($C$25:$L$25)</f>
        <v>0</v>
      </c>
      <c r="J29" s="52">
        <f>I29+(Historical_Cost!$D22-SUM($V5,$V17))/COUNTA($C$25:$L$25)</f>
        <v>0</v>
      </c>
      <c r="K29" s="52">
        <f>J29+(Historical_Cost!$D22-SUM($V5,$V17))/COUNTA($C$25:$L$25)</f>
        <v>0</v>
      </c>
      <c r="L29" s="52">
        <f>K29+(Historical_Cost!$D22-SUM($V5,$V17))/COUNTA($C$25:$L$25)</f>
        <v>0</v>
      </c>
      <c r="M29" s="37">
        <f>L29</f>
        <v>0</v>
      </c>
      <c r="N29" s="37">
        <f t="shared" si="11"/>
        <v>0</v>
      </c>
      <c r="O29" s="37">
        <f t="shared" si="11"/>
        <v>0</v>
      </c>
      <c r="P29" s="37">
        <f t="shared" si="11"/>
        <v>0</v>
      </c>
      <c r="Q29" s="37">
        <f t="shared" si="11"/>
        <v>0</v>
      </c>
      <c r="R29" s="37">
        <f t="shared" si="11"/>
        <v>0</v>
      </c>
      <c r="S29" s="37">
        <f t="shared" si="11"/>
        <v>0</v>
      </c>
      <c r="T29" s="37">
        <f t="shared" si="11"/>
        <v>0</v>
      </c>
      <c r="U29" s="37">
        <f t="shared" si="11"/>
        <v>0</v>
      </c>
      <c r="V29" s="37">
        <f t="shared" si="11"/>
        <v>0</v>
      </c>
    </row>
    <row r="30" spans="1:22" s="2" customFormat="1" x14ac:dyDescent="0.25">
      <c r="A30" s="513"/>
      <c r="B30" s="33" t="s">
        <v>44</v>
      </c>
      <c r="C30" s="52">
        <f>(Historical_Cost!$D23-SUM($V6,$V18))/COUNTA($C$25:$L$25)</f>
        <v>-0.1</v>
      </c>
      <c r="D30" s="52">
        <f>C30+(Historical_Cost!$D23-SUM($V6,$V18))/COUNTA($C$25:$L$25)</f>
        <v>-0.2</v>
      </c>
      <c r="E30" s="52">
        <f>D30+(Historical_Cost!$D23-SUM($V6,$V18))/COUNTA($C$25:$L$25)</f>
        <v>-0.30000000000000004</v>
      </c>
      <c r="F30" s="52">
        <f>E30+(Historical_Cost!$D23-SUM($V6,$V18))/COUNTA($C$25:$L$25)</f>
        <v>-0.4</v>
      </c>
      <c r="G30" s="52">
        <f>F30+(Historical_Cost!$D23-SUM($V6,$V18))/COUNTA($C$25:$L$25)</f>
        <v>-0.5</v>
      </c>
      <c r="H30" s="52">
        <f>G30+(Historical_Cost!$D23-SUM($V6,$V18))/COUNTA($C$25:$L$25)</f>
        <v>-0.6</v>
      </c>
      <c r="I30" s="52">
        <f>H30+(Historical_Cost!$D23-SUM($V6,$V18))/COUNTA($C$25:$L$25)</f>
        <v>-0.7</v>
      </c>
      <c r="J30" s="52">
        <f>I30+(Historical_Cost!$D23-SUM($V6,$V18))/COUNTA($C$25:$L$25)</f>
        <v>-0.79999999999999993</v>
      </c>
      <c r="K30" s="52">
        <f>J30+(Historical_Cost!$D23-SUM($V6,$V18))/COUNTA($C$25:$L$25)</f>
        <v>-0.89999999999999991</v>
      </c>
      <c r="L30" s="52">
        <f>K30+(Historical_Cost!$D23-SUM($V6,$V18))/COUNTA($C$25:$L$25)</f>
        <v>-0.99999999999999989</v>
      </c>
      <c r="M30" s="37">
        <f t="shared" si="11"/>
        <v>-0.99999999999999989</v>
      </c>
      <c r="N30" s="37">
        <f t="shared" si="11"/>
        <v>-0.99999999999999989</v>
      </c>
      <c r="O30" s="37">
        <f t="shared" si="11"/>
        <v>-0.99999999999999989</v>
      </c>
      <c r="P30" s="37">
        <f t="shared" si="11"/>
        <v>-0.99999999999999989</v>
      </c>
      <c r="Q30" s="37">
        <f t="shared" si="11"/>
        <v>-0.99999999999999989</v>
      </c>
      <c r="R30" s="37">
        <f t="shared" si="11"/>
        <v>-0.99999999999999989</v>
      </c>
      <c r="S30" s="37">
        <f t="shared" si="11"/>
        <v>-0.99999999999999989</v>
      </c>
      <c r="T30" s="37">
        <f t="shared" si="11"/>
        <v>-0.99999999999999989</v>
      </c>
      <c r="U30" s="37">
        <f t="shared" si="11"/>
        <v>-0.99999999999999989</v>
      </c>
      <c r="V30" s="37">
        <f t="shared" si="11"/>
        <v>-0.99999999999999989</v>
      </c>
    </row>
    <row r="31" spans="1:22" s="2" customFormat="1" x14ac:dyDescent="0.25">
      <c r="A31" s="513"/>
      <c r="B31" s="33" t="s">
        <v>81</v>
      </c>
      <c r="C31" s="52">
        <f>(Historical_Cost!$D24-SUM($V7,$V19))/COUNTA($C$25:$L$25)</f>
        <v>0</v>
      </c>
      <c r="D31" s="52">
        <f>C31+(Historical_Cost!$D24-SUM($V7,$V19))/COUNTA($C$25:$L$25)</f>
        <v>0</v>
      </c>
      <c r="E31" s="52">
        <f>D31+(Historical_Cost!$D24-SUM($V7,$V19))/COUNTA($C$25:$L$25)</f>
        <v>0</v>
      </c>
      <c r="F31" s="52">
        <f>E31+(Historical_Cost!$D24-SUM($V7,$V19))/COUNTA($C$25:$L$25)</f>
        <v>0</v>
      </c>
      <c r="G31" s="52">
        <f>F31+(Historical_Cost!$D24-SUM($V7,$V19))/COUNTA($C$25:$L$25)</f>
        <v>0</v>
      </c>
      <c r="H31" s="52">
        <f>G31+(Historical_Cost!$D24-SUM($V7,$V19))/COUNTA($C$25:$L$25)</f>
        <v>0</v>
      </c>
      <c r="I31" s="52">
        <f>H31+(Historical_Cost!$D24-SUM($V7,$V19))/COUNTA($C$25:$L$25)</f>
        <v>0</v>
      </c>
      <c r="J31" s="52">
        <f>I31+(Historical_Cost!$D24-SUM($V7,$V19))/COUNTA($C$25:$L$25)</f>
        <v>0</v>
      </c>
      <c r="K31" s="52">
        <f>J31+(Historical_Cost!$D24-SUM($V7,$V19))/COUNTA($C$25:$L$25)</f>
        <v>0</v>
      </c>
      <c r="L31" s="52">
        <f>K31+(Historical_Cost!$D24-SUM($V7,$V19))/COUNTA($C$25:$L$25)</f>
        <v>0</v>
      </c>
      <c r="M31" s="37">
        <f t="shared" si="11"/>
        <v>0</v>
      </c>
      <c r="N31" s="37">
        <f t="shared" si="11"/>
        <v>0</v>
      </c>
      <c r="O31" s="37">
        <f t="shared" si="11"/>
        <v>0</v>
      </c>
      <c r="P31" s="37">
        <f t="shared" si="11"/>
        <v>0</v>
      </c>
      <c r="Q31" s="37">
        <f t="shared" si="11"/>
        <v>0</v>
      </c>
      <c r="R31" s="37">
        <f t="shared" si="11"/>
        <v>0</v>
      </c>
      <c r="S31" s="37">
        <f t="shared" si="11"/>
        <v>0</v>
      </c>
      <c r="T31" s="37">
        <f t="shared" si="11"/>
        <v>0</v>
      </c>
      <c r="U31" s="37">
        <f t="shared" si="11"/>
        <v>0</v>
      </c>
      <c r="V31" s="37">
        <f t="shared" si="11"/>
        <v>0</v>
      </c>
    </row>
    <row r="32" spans="1:22" s="2" customFormat="1" x14ac:dyDescent="0.25">
      <c r="A32" s="513"/>
      <c r="B32" s="33" t="s">
        <v>42</v>
      </c>
      <c r="C32" s="52" t="e">
        <f>(Historical_Cost!#REF!-SUM($V8,$V20))/COUNTA($C$25:$L$25)</f>
        <v>#REF!</v>
      </c>
      <c r="D32" s="52" t="e">
        <f>C32+(Historical_Cost!#REF!-SUM($V8,$V20))/COUNTA($C$25:$L$25)</f>
        <v>#REF!</v>
      </c>
      <c r="E32" s="52" t="e">
        <f>D32+(Historical_Cost!#REF!-SUM($V8,$V20))/COUNTA($C$25:$L$25)</f>
        <v>#REF!</v>
      </c>
      <c r="F32" s="52" t="e">
        <f>E32+(Historical_Cost!#REF!-SUM($V8,$V20))/COUNTA($C$25:$L$25)</f>
        <v>#REF!</v>
      </c>
      <c r="G32" s="52" t="e">
        <f>F32+(Historical_Cost!#REF!-SUM($V8,$V20))/COUNTA($C$25:$L$25)</f>
        <v>#REF!</v>
      </c>
      <c r="H32" s="52" t="e">
        <f>G32+(Historical_Cost!#REF!-SUM($V8,$V20))/COUNTA($C$25:$L$25)</f>
        <v>#REF!</v>
      </c>
      <c r="I32" s="52" t="e">
        <f>H32+(Historical_Cost!#REF!-SUM($V8,$V20))/COUNTA($C$25:$L$25)</f>
        <v>#REF!</v>
      </c>
      <c r="J32" s="52" t="e">
        <f>I32+(Historical_Cost!#REF!-SUM($V8,$V20))/COUNTA($C$25:$L$25)</f>
        <v>#REF!</v>
      </c>
      <c r="K32" s="52" t="e">
        <f>J32+(Historical_Cost!#REF!-SUM($V8,$V20))/COUNTA($C$25:$L$25)</f>
        <v>#REF!</v>
      </c>
      <c r="L32" s="52" t="e">
        <f>K32+(Historical_Cost!#REF!-SUM($V8,$V20))/COUNTA($C$25:$L$25)</f>
        <v>#REF!</v>
      </c>
      <c r="M32" s="37" t="e">
        <f t="shared" si="11"/>
        <v>#REF!</v>
      </c>
      <c r="N32" s="37" t="e">
        <f t="shared" si="11"/>
        <v>#REF!</v>
      </c>
      <c r="O32" s="37" t="e">
        <f t="shared" si="11"/>
        <v>#REF!</v>
      </c>
      <c r="P32" s="37" t="e">
        <f t="shared" si="11"/>
        <v>#REF!</v>
      </c>
      <c r="Q32" s="37" t="e">
        <f t="shared" si="11"/>
        <v>#REF!</v>
      </c>
      <c r="R32" s="37" t="e">
        <f t="shared" si="11"/>
        <v>#REF!</v>
      </c>
      <c r="S32" s="37" t="e">
        <f t="shared" si="11"/>
        <v>#REF!</v>
      </c>
      <c r="T32" s="37" t="e">
        <f t="shared" si="11"/>
        <v>#REF!</v>
      </c>
      <c r="U32" s="37" t="e">
        <f t="shared" si="11"/>
        <v>#REF!</v>
      </c>
      <c r="V32" s="37" t="e">
        <f t="shared" si="11"/>
        <v>#REF!</v>
      </c>
    </row>
    <row r="33" spans="1:22" s="2" customFormat="1" x14ac:dyDescent="0.25">
      <c r="A33" s="513"/>
      <c r="B33" s="33" t="s">
        <v>45</v>
      </c>
      <c r="C33" s="52">
        <f>(Historical_Cost!$D25-SUM($V9,$V21))/COUNTA($C$25:$L$25)</f>
        <v>-0.3</v>
      </c>
      <c r="D33" s="52">
        <f>C33+(Historical_Cost!$D25-SUM($V9,$V21))/COUNTA($C$25:$L$25)</f>
        <v>-0.6</v>
      </c>
      <c r="E33" s="52">
        <f>D33+(Historical_Cost!$D25-SUM($V9,$V21))/COUNTA($C$25:$L$25)</f>
        <v>-0.89999999999999991</v>
      </c>
      <c r="F33" s="52">
        <f>E33+(Historical_Cost!$D25-SUM($V9,$V21))/COUNTA($C$25:$L$25)</f>
        <v>-1.2</v>
      </c>
      <c r="G33" s="52">
        <f>F33+(Historical_Cost!$D25-SUM($V9,$V21))/COUNTA($C$25:$L$25)</f>
        <v>-1.5</v>
      </c>
      <c r="H33" s="52">
        <f>G33+(Historical_Cost!$D25-SUM($V9,$V21))/COUNTA($C$25:$L$25)</f>
        <v>-1.8</v>
      </c>
      <c r="I33" s="52">
        <f>H33+(Historical_Cost!$D25-SUM($V9,$V21))/COUNTA($C$25:$L$25)</f>
        <v>-2.1</v>
      </c>
      <c r="J33" s="52">
        <f>I33+(Historical_Cost!$D25-SUM($V9,$V21))/COUNTA($C$25:$L$25)</f>
        <v>-2.4</v>
      </c>
      <c r="K33" s="52">
        <f>J33+(Historical_Cost!$D25-SUM($V9,$V21))/COUNTA($C$25:$L$25)</f>
        <v>-2.6999999999999997</v>
      </c>
      <c r="L33" s="52">
        <f>K33+(Historical_Cost!$D25-SUM($V9,$V21))/COUNTA($C$25:$L$25)</f>
        <v>-2.9999999999999996</v>
      </c>
      <c r="M33" s="37">
        <f t="shared" si="11"/>
        <v>-2.9999999999999996</v>
      </c>
      <c r="N33" s="37">
        <f t="shared" si="11"/>
        <v>-2.9999999999999996</v>
      </c>
      <c r="O33" s="37">
        <f t="shared" si="11"/>
        <v>-2.9999999999999996</v>
      </c>
      <c r="P33" s="37">
        <f t="shared" si="11"/>
        <v>-2.9999999999999996</v>
      </c>
      <c r="Q33" s="37">
        <f t="shared" si="11"/>
        <v>-2.9999999999999996</v>
      </c>
      <c r="R33" s="37">
        <f t="shared" si="11"/>
        <v>-2.9999999999999996</v>
      </c>
      <c r="S33" s="37">
        <f t="shared" si="11"/>
        <v>-2.9999999999999996</v>
      </c>
      <c r="T33" s="37">
        <f t="shared" si="11"/>
        <v>-2.9999999999999996</v>
      </c>
      <c r="U33" s="37">
        <f t="shared" si="11"/>
        <v>-2.9999999999999996</v>
      </c>
      <c r="V33" s="37">
        <f t="shared" si="11"/>
        <v>-2.9999999999999996</v>
      </c>
    </row>
    <row r="34" spans="1:22" s="2" customFormat="1" x14ac:dyDescent="0.25">
      <c r="A34" s="513"/>
      <c r="B34" s="50" t="s">
        <v>84</v>
      </c>
      <c r="C34" s="51" t="e">
        <f t="shared" ref="C34:V34" si="12">SUM(C26:C33)</f>
        <v>#REF!</v>
      </c>
      <c r="D34" s="51" t="e">
        <f t="shared" si="12"/>
        <v>#REF!</v>
      </c>
      <c r="E34" s="51" t="e">
        <f t="shared" si="12"/>
        <v>#REF!</v>
      </c>
      <c r="F34" s="51" t="e">
        <f t="shared" si="12"/>
        <v>#REF!</v>
      </c>
      <c r="G34" s="51" t="e">
        <f t="shared" si="12"/>
        <v>#REF!</v>
      </c>
      <c r="H34" s="51" t="e">
        <f t="shared" si="12"/>
        <v>#REF!</v>
      </c>
      <c r="I34" s="51" t="e">
        <f t="shared" si="12"/>
        <v>#REF!</v>
      </c>
      <c r="J34" s="51" t="e">
        <f t="shared" si="12"/>
        <v>#REF!</v>
      </c>
      <c r="K34" s="51" t="e">
        <f t="shared" si="12"/>
        <v>#REF!</v>
      </c>
      <c r="L34" s="51" t="e">
        <f t="shared" si="12"/>
        <v>#REF!</v>
      </c>
      <c r="M34" s="51" t="e">
        <f t="shared" si="12"/>
        <v>#REF!</v>
      </c>
      <c r="N34" s="51" t="e">
        <f t="shared" si="12"/>
        <v>#REF!</v>
      </c>
      <c r="O34" s="51" t="e">
        <f t="shared" si="12"/>
        <v>#REF!</v>
      </c>
      <c r="P34" s="51" t="e">
        <f t="shared" si="12"/>
        <v>#REF!</v>
      </c>
      <c r="Q34" s="51" t="e">
        <f t="shared" si="12"/>
        <v>#REF!</v>
      </c>
      <c r="R34" s="51" t="e">
        <f t="shared" si="12"/>
        <v>#REF!</v>
      </c>
      <c r="S34" s="51" t="e">
        <f t="shared" si="12"/>
        <v>#REF!</v>
      </c>
      <c r="T34" s="51" t="e">
        <f t="shared" si="12"/>
        <v>#REF!</v>
      </c>
      <c r="U34" s="51" t="e">
        <f t="shared" si="12"/>
        <v>#REF!</v>
      </c>
      <c r="V34" s="51" t="e">
        <f t="shared" si="12"/>
        <v>#REF!</v>
      </c>
    </row>
    <row r="35" spans="1:22" s="66" customFormat="1" x14ac:dyDescent="0.25">
      <c r="A35" s="64"/>
      <c r="B35" s="65"/>
      <c r="C35" s="62"/>
      <c r="D35" s="62"/>
      <c r="E35" s="62"/>
      <c r="F35" s="62"/>
      <c r="G35" s="62"/>
      <c r="H35" s="62"/>
      <c r="I35" s="62"/>
      <c r="J35" s="62"/>
      <c r="K35" s="62"/>
      <c r="L35" s="62"/>
      <c r="M35" s="62"/>
      <c r="N35" s="62"/>
      <c r="O35" s="62"/>
      <c r="P35" s="62"/>
      <c r="Q35" s="62"/>
      <c r="R35" s="62"/>
      <c r="S35" s="62"/>
      <c r="T35" s="62"/>
      <c r="U35" s="62"/>
      <c r="V35" s="62"/>
    </row>
    <row r="36" spans="1:22" x14ac:dyDescent="0.25">
      <c r="A36" s="514" t="s">
        <v>126</v>
      </c>
      <c r="B36" s="514"/>
      <c r="C36" s="62"/>
      <c r="D36" s="62"/>
      <c r="E36" s="62"/>
      <c r="F36" s="62"/>
      <c r="G36" s="62"/>
      <c r="H36" s="62"/>
      <c r="I36" s="62"/>
      <c r="J36" s="62"/>
      <c r="K36" s="62"/>
      <c r="L36" s="62"/>
      <c r="M36" s="62"/>
      <c r="N36" s="62"/>
      <c r="O36" s="62"/>
      <c r="P36" s="62"/>
      <c r="Q36" s="62"/>
      <c r="R36" s="62"/>
      <c r="S36" s="62"/>
      <c r="T36" s="62"/>
      <c r="U36" s="62"/>
      <c r="V36" s="62"/>
    </row>
    <row r="37" spans="1:22" s="2" customFormat="1" x14ac:dyDescent="0.25">
      <c r="A37" s="30" t="s">
        <v>16</v>
      </c>
      <c r="B37" s="30" t="s">
        <v>82</v>
      </c>
      <c r="C37" s="30">
        <v>2021</v>
      </c>
      <c r="D37" s="31">
        <v>2022</v>
      </c>
      <c r="E37" s="30">
        <v>2023</v>
      </c>
      <c r="F37" s="31">
        <v>2024</v>
      </c>
      <c r="G37" s="30">
        <v>2025</v>
      </c>
      <c r="H37" s="31">
        <v>2026</v>
      </c>
      <c r="I37" s="30">
        <v>2027</v>
      </c>
      <c r="J37" s="31">
        <v>2028</v>
      </c>
      <c r="K37" s="30">
        <v>2029</v>
      </c>
      <c r="L37" s="31">
        <v>2030</v>
      </c>
      <c r="M37" s="30">
        <v>2031</v>
      </c>
      <c r="N37" s="31">
        <v>2032</v>
      </c>
      <c r="O37" s="30">
        <v>2033</v>
      </c>
      <c r="P37" s="31">
        <v>2034</v>
      </c>
      <c r="Q37" s="30">
        <v>2035</v>
      </c>
      <c r="R37" s="31">
        <v>2036</v>
      </c>
      <c r="S37" s="30">
        <v>2037</v>
      </c>
      <c r="T37" s="31">
        <v>2038</v>
      </c>
      <c r="U37" s="30">
        <v>2039</v>
      </c>
      <c r="V37" s="31">
        <v>2040</v>
      </c>
    </row>
    <row r="38" spans="1:22" s="2" customFormat="1" ht="14.4" customHeight="1" x14ac:dyDescent="0.25">
      <c r="A38" s="513" t="s">
        <v>94</v>
      </c>
      <c r="B38" s="33" t="s">
        <v>43</v>
      </c>
      <c r="C38" s="52">
        <f>(Historical_Cost!$E19-SUM($V2,$V14))/COUNTA($C$25:$L$25)</f>
        <v>-0.5</v>
      </c>
      <c r="D38" s="52">
        <f>C38+(Historical_Cost!$E19-SUM($V2,$V14))/COUNTA($C$25:$L$25)</f>
        <v>-1</v>
      </c>
      <c r="E38" s="52">
        <f>D38+(Historical_Cost!$E19-SUM($V2,$V14))/COUNTA($C$25:$L$25)</f>
        <v>-1.5</v>
      </c>
      <c r="F38" s="52">
        <f>E38+(Historical_Cost!$E19-SUM($V2,$V14))/COUNTA($C$25:$L$25)</f>
        <v>-2</v>
      </c>
      <c r="G38" s="52">
        <f>F38+(Historical_Cost!$E19-SUM($V2,$V14))/COUNTA($C$25:$L$25)</f>
        <v>-2.5</v>
      </c>
      <c r="H38" s="52">
        <f>G38+(Historical_Cost!$E19-SUM($V2,$V14))/COUNTA($C$25:$L$25)</f>
        <v>-3</v>
      </c>
      <c r="I38" s="52">
        <f>H38+(Historical_Cost!$E19-SUM($V2,$V14))/COUNTA($C$25:$L$25)</f>
        <v>-3.5</v>
      </c>
      <c r="J38" s="52">
        <f>I38+(Historical_Cost!$E19-SUM($V2,$V14))/COUNTA($C$25:$L$25)</f>
        <v>-4</v>
      </c>
      <c r="K38" s="52">
        <f>J38+(Historical_Cost!$E19-SUM($V2,$V14))/COUNTA($C$25:$L$25)</f>
        <v>-4.5</v>
      </c>
      <c r="L38" s="52">
        <f>K38+(Historical_Cost!$E19-SUM($V2,$V14))/COUNTA($C$25:$L$25)</f>
        <v>-5</v>
      </c>
      <c r="M38" s="37">
        <f>L38</f>
        <v>-5</v>
      </c>
      <c r="N38" s="37">
        <f t="shared" ref="N38:N45" si="13">M38</f>
        <v>-5</v>
      </c>
      <c r="O38" s="37">
        <f t="shared" ref="O38:O45" si="14">N38</f>
        <v>-5</v>
      </c>
      <c r="P38" s="37">
        <f t="shared" ref="P38:P45" si="15">O38</f>
        <v>-5</v>
      </c>
      <c r="Q38" s="37">
        <f t="shared" ref="Q38:Q45" si="16">P38</f>
        <v>-5</v>
      </c>
      <c r="R38" s="37">
        <f t="shared" ref="R38:R45" si="17">Q38</f>
        <v>-5</v>
      </c>
      <c r="S38" s="37">
        <f t="shared" ref="S38:S45" si="18">R38</f>
        <v>-5</v>
      </c>
      <c r="T38" s="37">
        <f t="shared" ref="T38:T45" si="19">S38</f>
        <v>-5</v>
      </c>
      <c r="U38" s="37">
        <f t="shared" ref="U38:U45" si="20">T38</f>
        <v>-5</v>
      </c>
      <c r="V38" s="37">
        <f t="shared" ref="V38:V45" si="21">U38</f>
        <v>-5</v>
      </c>
    </row>
    <row r="39" spans="1:22" s="2" customFormat="1" x14ac:dyDescent="0.25">
      <c r="A39" s="513"/>
      <c r="B39" s="33" t="s">
        <v>41</v>
      </c>
      <c r="C39" s="52">
        <f>(Historical_Cost!$E20-SUM($V3,$V15))/COUNTA($C$25:$L$25)</f>
        <v>-0.1</v>
      </c>
      <c r="D39" s="52">
        <f>C39+(Historical_Cost!$E20-SUM($V3,$V15))/COUNTA($C$25:$L$25)</f>
        <v>-0.2</v>
      </c>
      <c r="E39" s="52">
        <f>D39+(Historical_Cost!$E20-SUM($V3,$V15))/COUNTA($C$25:$L$25)</f>
        <v>-0.30000000000000004</v>
      </c>
      <c r="F39" s="52">
        <f>E39+(Historical_Cost!$E20-SUM($V3,$V15))/COUNTA($C$25:$L$25)</f>
        <v>-0.4</v>
      </c>
      <c r="G39" s="52">
        <f>F39+(Historical_Cost!$E20-SUM($V3,$V15))/COUNTA($C$25:$L$25)</f>
        <v>-0.5</v>
      </c>
      <c r="H39" s="52">
        <f>G39+(Historical_Cost!$E20-SUM($V3,$V15))/COUNTA($C$25:$L$25)</f>
        <v>-0.6</v>
      </c>
      <c r="I39" s="52">
        <f>H39+(Historical_Cost!$E20-SUM($V3,$V15))/COUNTA($C$25:$L$25)</f>
        <v>-0.7</v>
      </c>
      <c r="J39" s="52">
        <f>I39+(Historical_Cost!$E20-SUM($V3,$V15))/COUNTA($C$25:$L$25)</f>
        <v>-0.79999999999999993</v>
      </c>
      <c r="K39" s="52">
        <f>J39+(Historical_Cost!$E20-SUM($V3,$V15))/COUNTA($C$25:$L$25)</f>
        <v>-0.89999999999999991</v>
      </c>
      <c r="L39" s="52">
        <f>K39+(Historical_Cost!$E20-SUM($V3,$V15))/COUNTA($C$25:$L$25)</f>
        <v>-0.99999999999999989</v>
      </c>
      <c r="M39" s="37">
        <f t="shared" ref="M39:M45" si="22">L39</f>
        <v>-0.99999999999999989</v>
      </c>
      <c r="N39" s="37">
        <f t="shared" si="13"/>
        <v>-0.99999999999999989</v>
      </c>
      <c r="O39" s="37">
        <f t="shared" si="14"/>
        <v>-0.99999999999999989</v>
      </c>
      <c r="P39" s="37">
        <f t="shared" si="15"/>
        <v>-0.99999999999999989</v>
      </c>
      <c r="Q39" s="37">
        <f t="shared" si="16"/>
        <v>-0.99999999999999989</v>
      </c>
      <c r="R39" s="37">
        <f t="shared" si="17"/>
        <v>-0.99999999999999989</v>
      </c>
      <c r="S39" s="37">
        <f t="shared" si="18"/>
        <v>-0.99999999999999989</v>
      </c>
      <c r="T39" s="37">
        <f t="shared" si="19"/>
        <v>-0.99999999999999989</v>
      </c>
      <c r="U39" s="37">
        <f t="shared" si="20"/>
        <v>-0.99999999999999989</v>
      </c>
      <c r="V39" s="37">
        <f t="shared" si="21"/>
        <v>-0.99999999999999989</v>
      </c>
    </row>
    <row r="40" spans="1:22" s="2" customFormat="1" x14ac:dyDescent="0.25">
      <c r="A40" s="513"/>
      <c r="B40" s="33" t="s">
        <v>40</v>
      </c>
      <c r="C40" s="52">
        <f>(Historical_Cost!$E21-SUM($V4,$V16))/COUNTA($C$25:$L$25)</f>
        <v>-0.1</v>
      </c>
      <c r="D40" s="52">
        <f>C40+(Historical_Cost!$E21-SUM($V4,$V16))/COUNTA($C$25:$L$25)</f>
        <v>-0.2</v>
      </c>
      <c r="E40" s="52">
        <f>D40+(Historical_Cost!$E21-SUM($V4,$V16))/COUNTA($C$25:$L$25)</f>
        <v>-0.30000000000000004</v>
      </c>
      <c r="F40" s="52">
        <f>E40+(Historical_Cost!$E21-SUM($V4,$V16))/COUNTA($C$25:$L$25)</f>
        <v>-0.4</v>
      </c>
      <c r="G40" s="52">
        <f>F40+(Historical_Cost!$E21-SUM($V4,$V16))/COUNTA($C$25:$L$25)</f>
        <v>-0.5</v>
      </c>
      <c r="H40" s="52">
        <f>G40+(Historical_Cost!$E21-SUM($V4,$V16))/COUNTA($C$25:$L$25)</f>
        <v>-0.6</v>
      </c>
      <c r="I40" s="52">
        <f>H40+(Historical_Cost!$E21-SUM($V4,$V16))/COUNTA($C$25:$L$25)</f>
        <v>-0.7</v>
      </c>
      <c r="J40" s="52">
        <f>I40+(Historical_Cost!$E21-SUM($V4,$V16))/COUNTA($C$25:$L$25)</f>
        <v>-0.79999999999999993</v>
      </c>
      <c r="K40" s="52">
        <f>J40+(Historical_Cost!$E21-SUM($V4,$V16))/COUNTA($C$25:$L$25)</f>
        <v>-0.89999999999999991</v>
      </c>
      <c r="L40" s="52">
        <f>K40+(Historical_Cost!$E21-SUM($V4,$V16))/COUNTA($C$25:$L$25)</f>
        <v>-0.99999999999999989</v>
      </c>
      <c r="M40" s="37">
        <f t="shared" si="22"/>
        <v>-0.99999999999999989</v>
      </c>
      <c r="N40" s="37">
        <f t="shared" si="13"/>
        <v>-0.99999999999999989</v>
      </c>
      <c r="O40" s="37">
        <f t="shared" si="14"/>
        <v>-0.99999999999999989</v>
      </c>
      <c r="P40" s="37">
        <f t="shared" si="15"/>
        <v>-0.99999999999999989</v>
      </c>
      <c r="Q40" s="37">
        <f t="shared" si="16"/>
        <v>-0.99999999999999989</v>
      </c>
      <c r="R40" s="37">
        <f t="shared" si="17"/>
        <v>-0.99999999999999989</v>
      </c>
      <c r="S40" s="37">
        <f t="shared" si="18"/>
        <v>-0.99999999999999989</v>
      </c>
      <c r="T40" s="37">
        <f t="shared" si="19"/>
        <v>-0.99999999999999989</v>
      </c>
      <c r="U40" s="37">
        <f t="shared" si="20"/>
        <v>-0.99999999999999989</v>
      </c>
      <c r="V40" s="37">
        <f t="shared" si="21"/>
        <v>-0.99999999999999989</v>
      </c>
    </row>
    <row r="41" spans="1:22" s="2" customFormat="1" x14ac:dyDescent="0.25">
      <c r="A41" s="513"/>
      <c r="B41" s="33" t="s">
        <v>80</v>
      </c>
      <c r="C41" s="52">
        <f>(Historical_Cost!$E22-SUM($V5,$V17))/COUNTA($C$25:$L$25)</f>
        <v>0</v>
      </c>
      <c r="D41" s="52">
        <f>C41+(Historical_Cost!$E22-SUM($V5,$V17))/COUNTA($C$25:$L$25)</f>
        <v>0</v>
      </c>
      <c r="E41" s="52">
        <f>D41+(Historical_Cost!$E22-SUM($V5,$V17))/COUNTA($C$25:$L$25)</f>
        <v>0</v>
      </c>
      <c r="F41" s="52">
        <f>E41+(Historical_Cost!$E22-SUM($V5,$V17))/COUNTA($C$25:$L$25)</f>
        <v>0</v>
      </c>
      <c r="G41" s="52">
        <f>F41+(Historical_Cost!$E22-SUM($V5,$V17))/COUNTA($C$25:$L$25)</f>
        <v>0</v>
      </c>
      <c r="H41" s="52">
        <f>G41+(Historical_Cost!$E22-SUM($V5,$V17))/COUNTA($C$25:$L$25)</f>
        <v>0</v>
      </c>
      <c r="I41" s="52">
        <f>H41+(Historical_Cost!$E22-SUM($V5,$V17))/COUNTA($C$25:$L$25)</f>
        <v>0</v>
      </c>
      <c r="J41" s="52">
        <f>I41+(Historical_Cost!$E22-SUM($V5,$V17))/COUNTA($C$25:$L$25)</f>
        <v>0</v>
      </c>
      <c r="K41" s="52">
        <f>J41+(Historical_Cost!$E22-SUM($V5,$V17))/COUNTA($C$25:$L$25)</f>
        <v>0</v>
      </c>
      <c r="L41" s="52">
        <f>K41+(Historical_Cost!$E22-SUM($V5,$V17))/COUNTA($C$25:$L$25)</f>
        <v>0</v>
      </c>
      <c r="M41" s="37">
        <f t="shared" si="22"/>
        <v>0</v>
      </c>
      <c r="N41" s="37">
        <f t="shared" si="13"/>
        <v>0</v>
      </c>
      <c r="O41" s="37">
        <f t="shared" si="14"/>
        <v>0</v>
      </c>
      <c r="P41" s="37">
        <f t="shared" si="15"/>
        <v>0</v>
      </c>
      <c r="Q41" s="37">
        <f t="shared" si="16"/>
        <v>0</v>
      </c>
      <c r="R41" s="37">
        <f t="shared" si="17"/>
        <v>0</v>
      </c>
      <c r="S41" s="37">
        <f t="shared" si="18"/>
        <v>0</v>
      </c>
      <c r="T41" s="37">
        <f t="shared" si="19"/>
        <v>0</v>
      </c>
      <c r="U41" s="37">
        <f t="shared" si="20"/>
        <v>0</v>
      </c>
      <c r="V41" s="37">
        <f t="shared" si="21"/>
        <v>0</v>
      </c>
    </row>
    <row r="42" spans="1:22" s="2" customFormat="1" x14ac:dyDescent="0.25">
      <c r="A42" s="513"/>
      <c r="B42" s="33" t="s">
        <v>44</v>
      </c>
      <c r="C42" s="52">
        <f>(Historical_Cost!$E23-SUM($V6,$V18))/COUNTA($C$25:$L$25)</f>
        <v>-0.1</v>
      </c>
      <c r="D42" s="52">
        <f>C42+(Historical_Cost!$E23-SUM($V6,$V18))/COUNTA($C$25:$L$25)</f>
        <v>-0.2</v>
      </c>
      <c r="E42" s="52">
        <f>D42+(Historical_Cost!$E23-SUM($V6,$V18))/COUNTA($C$25:$L$25)</f>
        <v>-0.30000000000000004</v>
      </c>
      <c r="F42" s="52">
        <f>E42+(Historical_Cost!$E23-SUM($V6,$V18))/COUNTA($C$25:$L$25)</f>
        <v>-0.4</v>
      </c>
      <c r="G42" s="52">
        <f>F42+(Historical_Cost!$E23-SUM($V6,$V18))/COUNTA($C$25:$L$25)</f>
        <v>-0.5</v>
      </c>
      <c r="H42" s="52">
        <f>G42+(Historical_Cost!$E23-SUM($V6,$V18))/COUNTA($C$25:$L$25)</f>
        <v>-0.6</v>
      </c>
      <c r="I42" s="52">
        <f>H42+(Historical_Cost!$E23-SUM($V6,$V18))/COUNTA($C$25:$L$25)</f>
        <v>-0.7</v>
      </c>
      <c r="J42" s="52">
        <f>I42+(Historical_Cost!$E23-SUM($V6,$V18))/COUNTA($C$25:$L$25)</f>
        <v>-0.79999999999999993</v>
      </c>
      <c r="K42" s="52">
        <f>J42+(Historical_Cost!$E23-SUM($V6,$V18))/COUNTA($C$25:$L$25)</f>
        <v>-0.89999999999999991</v>
      </c>
      <c r="L42" s="52">
        <f>K42+(Historical_Cost!$E23-SUM($V6,$V18))/COUNTA($C$25:$L$25)</f>
        <v>-0.99999999999999989</v>
      </c>
      <c r="M42" s="37">
        <f t="shared" si="22"/>
        <v>-0.99999999999999989</v>
      </c>
      <c r="N42" s="37">
        <f t="shared" si="13"/>
        <v>-0.99999999999999989</v>
      </c>
      <c r="O42" s="37">
        <f t="shared" si="14"/>
        <v>-0.99999999999999989</v>
      </c>
      <c r="P42" s="37">
        <f t="shared" si="15"/>
        <v>-0.99999999999999989</v>
      </c>
      <c r="Q42" s="37">
        <f t="shared" si="16"/>
        <v>-0.99999999999999989</v>
      </c>
      <c r="R42" s="37">
        <f t="shared" si="17"/>
        <v>-0.99999999999999989</v>
      </c>
      <c r="S42" s="37">
        <f t="shared" si="18"/>
        <v>-0.99999999999999989</v>
      </c>
      <c r="T42" s="37">
        <f t="shared" si="19"/>
        <v>-0.99999999999999989</v>
      </c>
      <c r="U42" s="37">
        <f t="shared" si="20"/>
        <v>-0.99999999999999989</v>
      </c>
      <c r="V42" s="37">
        <f t="shared" si="21"/>
        <v>-0.99999999999999989</v>
      </c>
    </row>
    <row r="43" spans="1:22" s="2" customFormat="1" x14ac:dyDescent="0.25">
      <c r="A43" s="513"/>
      <c r="B43" s="33" t="s">
        <v>81</v>
      </c>
      <c r="C43" s="52">
        <f>(Historical_Cost!$E24-SUM($V7,$V19))/COUNTA($C$25:$L$25)</f>
        <v>0</v>
      </c>
      <c r="D43" s="52">
        <f>C43+(Historical_Cost!$E24-SUM($V7,$V19))/COUNTA($C$25:$L$25)</f>
        <v>0</v>
      </c>
      <c r="E43" s="52">
        <f>D43+(Historical_Cost!$E24-SUM($V7,$V19))/COUNTA($C$25:$L$25)</f>
        <v>0</v>
      </c>
      <c r="F43" s="52">
        <f>E43+(Historical_Cost!$E24-SUM($V7,$V19))/COUNTA($C$25:$L$25)</f>
        <v>0</v>
      </c>
      <c r="G43" s="52">
        <f>F43+(Historical_Cost!$E24-SUM($V7,$V19))/COUNTA($C$25:$L$25)</f>
        <v>0</v>
      </c>
      <c r="H43" s="52">
        <f>G43+(Historical_Cost!$E24-SUM($V7,$V19))/COUNTA($C$25:$L$25)</f>
        <v>0</v>
      </c>
      <c r="I43" s="52">
        <f>H43+(Historical_Cost!$E24-SUM($V7,$V19))/COUNTA($C$25:$L$25)</f>
        <v>0</v>
      </c>
      <c r="J43" s="52">
        <f>I43+(Historical_Cost!$E24-SUM($V7,$V19))/COUNTA($C$25:$L$25)</f>
        <v>0</v>
      </c>
      <c r="K43" s="52">
        <f>J43+(Historical_Cost!$E24-SUM($V7,$V19))/COUNTA($C$25:$L$25)</f>
        <v>0</v>
      </c>
      <c r="L43" s="52">
        <f>K43+(Historical_Cost!$E24-SUM($V7,$V19))/COUNTA($C$25:$L$25)</f>
        <v>0</v>
      </c>
      <c r="M43" s="37">
        <f t="shared" si="22"/>
        <v>0</v>
      </c>
      <c r="N43" s="37">
        <f t="shared" si="13"/>
        <v>0</v>
      </c>
      <c r="O43" s="37">
        <f t="shared" si="14"/>
        <v>0</v>
      </c>
      <c r="P43" s="37">
        <f t="shared" si="15"/>
        <v>0</v>
      </c>
      <c r="Q43" s="37">
        <f t="shared" si="16"/>
        <v>0</v>
      </c>
      <c r="R43" s="37">
        <f t="shared" si="17"/>
        <v>0</v>
      </c>
      <c r="S43" s="37">
        <f t="shared" si="18"/>
        <v>0</v>
      </c>
      <c r="T43" s="37">
        <f t="shared" si="19"/>
        <v>0</v>
      </c>
      <c r="U43" s="37">
        <f t="shared" si="20"/>
        <v>0</v>
      </c>
      <c r="V43" s="37">
        <f t="shared" si="21"/>
        <v>0</v>
      </c>
    </row>
    <row r="44" spans="1:22" s="2" customFormat="1" x14ac:dyDescent="0.25">
      <c r="A44" s="513"/>
      <c r="B44" s="33" t="s">
        <v>42</v>
      </c>
      <c r="C44" s="52" t="e">
        <f>(Historical_Cost!#REF!-SUM($V8,$V20))/COUNTA($C$25:$L$25)</f>
        <v>#REF!</v>
      </c>
      <c r="D44" s="52" t="e">
        <f>C44+(Historical_Cost!#REF!-SUM($V8,$V20))/COUNTA($C$25:$L$25)</f>
        <v>#REF!</v>
      </c>
      <c r="E44" s="52" t="e">
        <f>D44+(Historical_Cost!#REF!-SUM($V8,$V20))/COUNTA($C$25:$L$25)</f>
        <v>#REF!</v>
      </c>
      <c r="F44" s="52" t="e">
        <f>E44+(Historical_Cost!#REF!-SUM($V8,$V20))/COUNTA($C$25:$L$25)</f>
        <v>#REF!</v>
      </c>
      <c r="G44" s="52" t="e">
        <f>F44+(Historical_Cost!#REF!-SUM($V8,$V20))/COUNTA($C$25:$L$25)</f>
        <v>#REF!</v>
      </c>
      <c r="H44" s="52" t="e">
        <f>G44+(Historical_Cost!#REF!-SUM($V8,$V20))/COUNTA($C$25:$L$25)</f>
        <v>#REF!</v>
      </c>
      <c r="I44" s="52" t="e">
        <f>H44+(Historical_Cost!#REF!-SUM($V8,$V20))/COUNTA($C$25:$L$25)</f>
        <v>#REF!</v>
      </c>
      <c r="J44" s="52" t="e">
        <f>I44+(Historical_Cost!#REF!-SUM($V8,$V20))/COUNTA($C$25:$L$25)</f>
        <v>#REF!</v>
      </c>
      <c r="K44" s="52" t="e">
        <f>J44+(Historical_Cost!#REF!-SUM($V8,$V20))/COUNTA($C$25:$L$25)</f>
        <v>#REF!</v>
      </c>
      <c r="L44" s="52" t="e">
        <f>K44+(Historical_Cost!#REF!-SUM($V8,$V20))/COUNTA($C$25:$L$25)</f>
        <v>#REF!</v>
      </c>
      <c r="M44" s="37" t="e">
        <f t="shared" si="22"/>
        <v>#REF!</v>
      </c>
      <c r="N44" s="37" t="e">
        <f t="shared" si="13"/>
        <v>#REF!</v>
      </c>
      <c r="O44" s="37" t="e">
        <f t="shared" si="14"/>
        <v>#REF!</v>
      </c>
      <c r="P44" s="37" t="e">
        <f t="shared" si="15"/>
        <v>#REF!</v>
      </c>
      <c r="Q44" s="37" t="e">
        <f t="shared" si="16"/>
        <v>#REF!</v>
      </c>
      <c r="R44" s="37" t="e">
        <f t="shared" si="17"/>
        <v>#REF!</v>
      </c>
      <c r="S44" s="37" t="e">
        <f t="shared" si="18"/>
        <v>#REF!</v>
      </c>
      <c r="T44" s="37" t="e">
        <f t="shared" si="19"/>
        <v>#REF!</v>
      </c>
      <c r="U44" s="37" t="e">
        <f t="shared" si="20"/>
        <v>#REF!</v>
      </c>
      <c r="V44" s="37" t="e">
        <f t="shared" si="21"/>
        <v>#REF!</v>
      </c>
    </row>
    <row r="45" spans="1:22" s="2" customFormat="1" x14ac:dyDescent="0.25">
      <c r="A45" s="513"/>
      <c r="B45" s="33" t="s">
        <v>45</v>
      </c>
      <c r="C45" s="52">
        <f>(Historical_Cost!$E25-SUM($V9,$V21))/COUNTA($C$25:$L$25)</f>
        <v>-0.3</v>
      </c>
      <c r="D45" s="52">
        <f>C45+(Historical_Cost!$E25-SUM($V9,$V21))/COUNTA($C$25:$L$25)</f>
        <v>-0.6</v>
      </c>
      <c r="E45" s="52">
        <f>D45+(Historical_Cost!$E25-SUM($V9,$V21))/COUNTA($C$25:$L$25)</f>
        <v>-0.89999999999999991</v>
      </c>
      <c r="F45" s="52">
        <f>E45+(Historical_Cost!$E25-SUM($V9,$V21))/COUNTA($C$25:$L$25)</f>
        <v>-1.2</v>
      </c>
      <c r="G45" s="52">
        <f>F45+(Historical_Cost!$E25-SUM($V9,$V21))/COUNTA($C$25:$L$25)</f>
        <v>-1.5</v>
      </c>
      <c r="H45" s="52">
        <f>G45+(Historical_Cost!$E25-SUM($V9,$V21))/COUNTA($C$25:$L$25)</f>
        <v>-1.8</v>
      </c>
      <c r="I45" s="52">
        <f>H45+(Historical_Cost!$E25-SUM($V9,$V21))/COUNTA($C$25:$L$25)</f>
        <v>-2.1</v>
      </c>
      <c r="J45" s="52">
        <f>I45+(Historical_Cost!$E25-SUM($V9,$V21))/COUNTA($C$25:$L$25)</f>
        <v>-2.4</v>
      </c>
      <c r="K45" s="52">
        <f>J45+(Historical_Cost!$E25-SUM($V9,$V21))/COUNTA($C$25:$L$25)</f>
        <v>-2.6999999999999997</v>
      </c>
      <c r="L45" s="52">
        <f>K45+(Historical_Cost!$E25-SUM($V9,$V21))/COUNTA($C$25:$L$25)</f>
        <v>-2.9999999999999996</v>
      </c>
      <c r="M45" s="37">
        <f t="shared" si="22"/>
        <v>-2.9999999999999996</v>
      </c>
      <c r="N45" s="37">
        <f t="shared" si="13"/>
        <v>-2.9999999999999996</v>
      </c>
      <c r="O45" s="37">
        <f t="shared" si="14"/>
        <v>-2.9999999999999996</v>
      </c>
      <c r="P45" s="37">
        <f t="shared" si="15"/>
        <v>-2.9999999999999996</v>
      </c>
      <c r="Q45" s="37">
        <f t="shared" si="16"/>
        <v>-2.9999999999999996</v>
      </c>
      <c r="R45" s="37">
        <f t="shared" si="17"/>
        <v>-2.9999999999999996</v>
      </c>
      <c r="S45" s="37">
        <f t="shared" si="18"/>
        <v>-2.9999999999999996</v>
      </c>
      <c r="T45" s="37">
        <f t="shared" si="19"/>
        <v>-2.9999999999999996</v>
      </c>
      <c r="U45" s="37">
        <f t="shared" si="20"/>
        <v>-2.9999999999999996</v>
      </c>
      <c r="V45" s="37">
        <f t="shared" si="21"/>
        <v>-2.9999999999999996</v>
      </c>
    </row>
    <row r="46" spans="1:22" s="2" customFormat="1" x14ac:dyDescent="0.25">
      <c r="A46" s="513"/>
      <c r="B46" s="50" t="s">
        <v>84</v>
      </c>
      <c r="C46" s="51" t="e">
        <f t="shared" ref="C46:V46" si="23">SUM(C38:C45)</f>
        <v>#REF!</v>
      </c>
      <c r="D46" s="51" t="e">
        <f t="shared" si="23"/>
        <v>#REF!</v>
      </c>
      <c r="E46" s="51" t="e">
        <f t="shared" si="23"/>
        <v>#REF!</v>
      </c>
      <c r="F46" s="51" t="e">
        <f t="shared" si="23"/>
        <v>#REF!</v>
      </c>
      <c r="G46" s="51" t="e">
        <f t="shared" si="23"/>
        <v>#REF!</v>
      </c>
      <c r="H46" s="51" t="e">
        <f t="shared" si="23"/>
        <v>#REF!</v>
      </c>
      <c r="I46" s="51" t="e">
        <f t="shared" si="23"/>
        <v>#REF!</v>
      </c>
      <c r="J46" s="51" t="e">
        <f t="shared" si="23"/>
        <v>#REF!</v>
      </c>
      <c r="K46" s="51" t="e">
        <f t="shared" si="23"/>
        <v>#REF!</v>
      </c>
      <c r="L46" s="51" t="e">
        <f t="shared" si="23"/>
        <v>#REF!</v>
      </c>
      <c r="M46" s="51" t="e">
        <f t="shared" si="23"/>
        <v>#REF!</v>
      </c>
      <c r="N46" s="51" t="e">
        <f t="shared" si="23"/>
        <v>#REF!</v>
      </c>
      <c r="O46" s="51" t="e">
        <f t="shared" si="23"/>
        <v>#REF!</v>
      </c>
      <c r="P46" s="51" t="e">
        <f t="shared" si="23"/>
        <v>#REF!</v>
      </c>
      <c r="Q46" s="51" t="e">
        <f t="shared" si="23"/>
        <v>#REF!</v>
      </c>
      <c r="R46" s="51" t="e">
        <f t="shared" si="23"/>
        <v>#REF!</v>
      </c>
      <c r="S46" s="51" t="e">
        <f t="shared" si="23"/>
        <v>#REF!</v>
      </c>
      <c r="T46" s="51" t="e">
        <f t="shared" si="23"/>
        <v>#REF!</v>
      </c>
      <c r="U46" s="51" t="e">
        <f t="shared" si="23"/>
        <v>#REF!</v>
      </c>
      <c r="V46" s="51" t="e">
        <f t="shared" si="23"/>
        <v>#REF!</v>
      </c>
    </row>
    <row r="47" spans="1:22" s="63" customFormat="1" x14ac:dyDescent="0.25">
      <c r="A47" s="64"/>
      <c r="B47" s="61"/>
      <c r="C47" s="62"/>
      <c r="D47" s="62"/>
      <c r="E47" s="62"/>
      <c r="F47" s="62"/>
      <c r="G47" s="62"/>
      <c r="H47" s="62"/>
      <c r="I47" s="62"/>
      <c r="J47" s="62"/>
      <c r="K47" s="62"/>
      <c r="L47" s="62"/>
      <c r="M47" s="62"/>
      <c r="N47" s="62"/>
      <c r="O47" s="62"/>
      <c r="P47" s="62"/>
      <c r="Q47" s="62"/>
      <c r="R47" s="62"/>
      <c r="S47" s="62"/>
      <c r="T47" s="62"/>
      <c r="U47" s="62"/>
      <c r="V47" s="62"/>
    </row>
    <row r="48" spans="1:22" x14ac:dyDescent="0.25">
      <c r="A48" s="514" t="s">
        <v>127</v>
      </c>
      <c r="B48" s="514"/>
      <c r="C48" s="62"/>
      <c r="D48" s="62"/>
      <c r="E48" s="62"/>
      <c r="F48" s="62"/>
      <c r="G48" s="62"/>
      <c r="H48" s="62"/>
      <c r="I48" s="62"/>
      <c r="J48" s="62"/>
      <c r="K48" s="62"/>
      <c r="L48" s="62"/>
      <c r="M48" s="62"/>
      <c r="N48" s="62"/>
      <c r="O48" s="62"/>
      <c r="P48" s="62"/>
      <c r="Q48" s="62"/>
      <c r="R48" s="62"/>
      <c r="S48" s="62"/>
      <c r="T48" s="62"/>
      <c r="U48" s="62"/>
      <c r="V48" s="62"/>
    </row>
    <row r="49" spans="1:22" s="2" customFormat="1" x14ac:dyDescent="0.25">
      <c r="A49" s="30" t="s">
        <v>16</v>
      </c>
      <c r="B49" s="30" t="s">
        <v>82</v>
      </c>
      <c r="C49" s="30">
        <v>2021</v>
      </c>
      <c r="D49" s="31">
        <v>2022</v>
      </c>
      <c r="E49" s="30">
        <v>2023</v>
      </c>
      <c r="F49" s="31">
        <v>2024</v>
      </c>
      <c r="G49" s="30">
        <v>2025</v>
      </c>
      <c r="H49" s="31">
        <v>2026</v>
      </c>
      <c r="I49" s="30">
        <v>2027</v>
      </c>
      <c r="J49" s="31">
        <v>2028</v>
      </c>
      <c r="K49" s="30">
        <v>2029</v>
      </c>
      <c r="L49" s="31">
        <v>2030</v>
      </c>
      <c r="M49" s="30">
        <v>2031</v>
      </c>
      <c r="N49" s="31">
        <v>2032</v>
      </c>
      <c r="O49" s="30">
        <v>2033</v>
      </c>
      <c r="P49" s="31">
        <v>2034</v>
      </c>
      <c r="Q49" s="30">
        <v>2035</v>
      </c>
      <c r="R49" s="31">
        <v>2036</v>
      </c>
      <c r="S49" s="30">
        <v>2037</v>
      </c>
      <c r="T49" s="31">
        <v>2038</v>
      </c>
      <c r="U49" s="30">
        <v>2039</v>
      </c>
      <c r="V49" s="31">
        <v>2040</v>
      </c>
    </row>
    <row r="50" spans="1:22" s="2" customFormat="1" ht="14.4" customHeight="1" x14ac:dyDescent="0.25">
      <c r="A50" s="513" t="s">
        <v>94</v>
      </c>
      <c r="B50" s="33" t="s">
        <v>43</v>
      </c>
      <c r="C50" s="52">
        <f>(Historical_Cost!$F19-SUM($V2,$V14))/COUNTA($C$25:$L$25)</f>
        <v>-0.5</v>
      </c>
      <c r="D50" s="52">
        <f>C50+(Historical_Cost!$F19-SUM($V2,$V14))/COUNTA($C$25:$L$25)</f>
        <v>-1</v>
      </c>
      <c r="E50" s="52">
        <f>D50+(Historical_Cost!$F19-SUM($V2,$V14))/COUNTA($C$25:$L$25)</f>
        <v>-1.5</v>
      </c>
      <c r="F50" s="52">
        <f>E50+(Historical_Cost!$F19-SUM($V2,$V14))/COUNTA($C$25:$L$25)</f>
        <v>-2</v>
      </c>
      <c r="G50" s="52">
        <f>F50+(Historical_Cost!$F19-SUM($V2,$V14))/COUNTA($C$25:$L$25)</f>
        <v>-2.5</v>
      </c>
      <c r="H50" s="52">
        <f>G50+(Historical_Cost!$F19-SUM($V2,$V14))/COUNTA($C$25:$L$25)</f>
        <v>-3</v>
      </c>
      <c r="I50" s="52">
        <f>H50+(Historical_Cost!$F19-SUM($V2,$V14))/COUNTA($C$25:$L$25)</f>
        <v>-3.5</v>
      </c>
      <c r="J50" s="52">
        <f>I50+(Historical_Cost!$F19-SUM($V2,$V14))/COUNTA($C$25:$L$25)</f>
        <v>-4</v>
      </c>
      <c r="K50" s="52">
        <f>J50+(Historical_Cost!$F19-SUM($V2,$V14))/COUNTA($C$25:$L$25)</f>
        <v>-4.5</v>
      </c>
      <c r="L50" s="52">
        <f>K50+(Historical_Cost!$F19-SUM($V2,$V14))/COUNTA($C$25:$L$25)</f>
        <v>-5</v>
      </c>
      <c r="M50" s="37">
        <f>L50</f>
        <v>-5</v>
      </c>
      <c r="N50" s="37">
        <f t="shared" ref="N50:N57" si="24">M50</f>
        <v>-5</v>
      </c>
      <c r="O50" s="37">
        <f t="shared" ref="O50:O57" si="25">N50</f>
        <v>-5</v>
      </c>
      <c r="P50" s="37">
        <f t="shared" ref="P50:P57" si="26">O50</f>
        <v>-5</v>
      </c>
      <c r="Q50" s="37">
        <f t="shared" ref="Q50:Q57" si="27">P50</f>
        <v>-5</v>
      </c>
      <c r="R50" s="37">
        <f t="shared" ref="R50:R57" si="28">Q50</f>
        <v>-5</v>
      </c>
      <c r="S50" s="37">
        <f t="shared" ref="S50:S57" si="29">R50</f>
        <v>-5</v>
      </c>
      <c r="T50" s="37">
        <f t="shared" ref="T50:T57" si="30">S50</f>
        <v>-5</v>
      </c>
      <c r="U50" s="37">
        <f t="shared" ref="U50:U57" si="31">T50</f>
        <v>-5</v>
      </c>
      <c r="V50" s="37">
        <f t="shared" ref="V50:V57" si="32">U50</f>
        <v>-5</v>
      </c>
    </row>
    <row r="51" spans="1:22" s="2" customFormat="1" x14ac:dyDescent="0.25">
      <c r="A51" s="513"/>
      <c r="B51" s="33" t="s">
        <v>41</v>
      </c>
      <c r="C51" s="52">
        <f>(Historical_Cost!$F20-SUM($V3,$V15))/COUNTA($C$25:$L$25)</f>
        <v>0</v>
      </c>
      <c r="D51" s="52">
        <f>C51+(Historical_Cost!$F20-SUM($V3,$V15))/COUNTA($C$25:$L$25)</f>
        <v>0</v>
      </c>
      <c r="E51" s="52">
        <f>D51+(Historical_Cost!$F20-SUM($V3,$V15))/COUNTA($C$25:$L$25)</f>
        <v>0</v>
      </c>
      <c r="F51" s="52">
        <f>E51+(Historical_Cost!$F20-SUM($V3,$V15))/COUNTA($C$25:$L$25)</f>
        <v>0</v>
      </c>
      <c r="G51" s="52">
        <f>F51+(Historical_Cost!$F20-SUM($V3,$V15))/COUNTA($C$25:$L$25)</f>
        <v>0</v>
      </c>
      <c r="H51" s="52">
        <f>G51+(Historical_Cost!$F20-SUM($V3,$V15))/COUNTA($C$25:$L$25)</f>
        <v>0</v>
      </c>
      <c r="I51" s="52">
        <f>H51+(Historical_Cost!$F20-SUM($V3,$V15))/COUNTA($C$25:$L$25)</f>
        <v>0</v>
      </c>
      <c r="J51" s="52">
        <f>I51+(Historical_Cost!$F20-SUM($V3,$V15))/COUNTA($C$25:$L$25)</f>
        <v>0</v>
      </c>
      <c r="K51" s="52">
        <f>J51+(Historical_Cost!$F20-SUM($V3,$V15))/COUNTA($C$25:$L$25)</f>
        <v>0</v>
      </c>
      <c r="L51" s="52">
        <f>K51+(Historical_Cost!$F20-SUM($V3,$V15))/COUNTA($C$25:$L$25)</f>
        <v>0</v>
      </c>
      <c r="M51" s="37">
        <f t="shared" ref="M51:M57" si="33">L51</f>
        <v>0</v>
      </c>
      <c r="N51" s="37">
        <f t="shared" si="24"/>
        <v>0</v>
      </c>
      <c r="O51" s="37">
        <f t="shared" si="25"/>
        <v>0</v>
      </c>
      <c r="P51" s="37">
        <f t="shared" si="26"/>
        <v>0</v>
      </c>
      <c r="Q51" s="37">
        <f t="shared" si="27"/>
        <v>0</v>
      </c>
      <c r="R51" s="37">
        <f t="shared" si="28"/>
        <v>0</v>
      </c>
      <c r="S51" s="37">
        <f t="shared" si="29"/>
        <v>0</v>
      </c>
      <c r="T51" s="37">
        <f t="shared" si="30"/>
        <v>0</v>
      </c>
      <c r="U51" s="37">
        <f t="shared" si="31"/>
        <v>0</v>
      </c>
      <c r="V51" s="37">
        <f t="shared" si="32"/>
        <v>0</v>
      </c>
    </row>
    <row r="52" spans="1:22" s="2" customFormat="1" x14ac:dyDescent="0.25">
      <c r="A52" s="513"/>
      <c r="B52" s="33" t="s">
        <v>40</v>
      </c>
      <c r="C52" s="52">
        <f>(Historical_Cost!$F21-SUM($V4,$V16))/COUNTA($C$25:$L$25)</f>
        <v>0</v>
      </c>
      <c r="D52" s="52">
        <f>C52+(Historical_Cost!$F21-SUM($V4,$V16))/COUNTA($C$25:$L$25)</f>
        <v>0</v>
      </c>
      <c r="E52" s="52">
        <f>D52+(Historical_Cost!$F21-SUM($V4,$V16))/COUNTA($C$25:$L$25)</f>
        <v>0</v>
      </c>
      <c r="F52" s="52">
        <f>E52+(Historical_Cost!$F21-SUM($V4,$V16))/COUNTA($C$25:$L$25)</f>
        <v>0</v>
      </c>
      <c r="G52" s="52">
        <f>F52+(Historical_Cost!$F21-SUM($V4,$V16))/COUNTA($C$25:$L$25)</f>
        <v>0</v>
      </c>
      <c r="H52" s="52">
        <f>G52+(Historical_Cost!$F21-SUM($V4,$V16))/COUNTA($C$25:$L$25)</f>
        <v>0</v>
      </c>
      <c r="I52" s="52">
        <f>H52+(Historical_Cost!$F21-SUM($V4,$V16))/COUNTA($C$25:$L$25)</f>
        <v>0</v>
      </c>
      <c r="J52" s="52">
        <f>I52+(Historical_Cost!$F21-SUM($V4,$V16))/COUNTA($C$25:$L$25)</f>
        <v>0</v>
      </c>
      <c r="K52" s="52">
        <f>J52+(Historical_Cost!$F21-SUM($V4,$V16))/COUNTA($C$25:$L$25)</f>
        <v>0</v>
      </c>
      <c r="L52" s="52">
        <f>K52+(Historical_Cost!$F21-SUM($V4,$V16))/COUNTA($C$25:$L$25)</f>
        <v>0</v>
      </c>
      <c r="M52" s="37">
        <f t="shared" si="33"/>
        <v>0</v>
      </c>
      <c r="N52" s="37">
        <f t="shared" si="24"/>
        <v>0</v>
      </c>
      <c r="O52" s="37">
        <f t="shared" si="25"/>
        <v>0</v>
      </c>
      <c r="P52" s="37">
        <f t="shared" si="26"/>
        <v>0</v>
      </c>
      <c r="Q52" s="37">
        <f t="shared" si="27"/>
        <v>0</v>
      </c>
      <c r="R52" s="37">
        <f t="shared" si="28"/>
        <v>0</v>
      </c>
      <c r="S52" s="37">
        <f t="shared" si="29"/>
        <v>0</v>
      </c>
      <c r="T52" s="37">
        <f t="shared" si="30"/>
        <v>0</v>
      </c>
      <c r="U52" s="37">
        <f t="shared" si="31"/>
        <v>0</v>
      </c>
      <c r="V52" s="37">
        <f t="shared" si="32"/>
        <v>0</v>
      </c>
    </row>
    <row r="53" spans="1:22" s="2" customFormat="1" x14ac:dyDescent="0.25">
      <c r="A53" s="513"/>
      <c r="B53" s="33" t="s">
        <v>80</v>
      </c>
      <c r="C53" s="52">
        <f>(Historical_Cost!$F22-SUM($V5,$V17))/COUNTA($C$25:$L$25)</f>
        <v>0</v>
      </c>
      <c r="D53" s="52">
        <f>C53+(Historical_Cost!$F22-SUM($V5,$V17))/COUNTA($C$25:$L$25)</f>
        <v>0</v>
      </c>
      <c r="E53" s="52">
        <f>D53+(Historical_Cost!$F22-SUM($V5,$V17))/COUNTA($C$25:$L$25)</f>
        <v>0</v>
      </c>
      <c r="F53" s="52">
        <f>E53+(Historical_Cost!$F22-SUM($V5,$V17))/COUNTA($C$25:$L$25)</f>
        <v>0</v>
      </c>
      <c r="G53" s="52">
        <f>F53+(Historical_Cost!$F22-SUM($V5,$V17))/COUNTA($C$25:$L$25)</f>
        <v>0</v>
      </c>
      <c r="H53" s="52">
        <f>G53+(Historical_Cost!$F22-SUM($V5,$V17))/COUNTA($C$25:$L$25)</f>
        <v>0</v>
      </c>
      <c r="I53" s="52">
        <f>H53+(Historical_Cost!$F22-SUM($V5,$V17))/COUNTA($C$25:$L$25)</f>
        <v>0</v>
      </c>
      <c r="J53" s="52">
        <f>I53+(Historical_Cost!$F22-SUM($V5,$V17))/COUNTA($C$25:$L$25)</f>
        <v>0</v>
      </c>
      <c r="K53" s="52">
        <f>J53+(Historical_Cost!$F22-SUM($V5,$V17))/COUNTA($C$25:$L$25)</f>
        <v>0</v>
      </c>
      <c r="L53" s="52">
        <f>K53+(Historical_Cost!$F22-SUM($V5,$V17))/COUNTA($C$25:$L$25)</f>
        <v>0</v>
      </c>
      <c r="M53" s="37">
        <f t="shared" si="33"/>
        <v>0</v>
      </c>
      <c r="N53" s="37">
        <f t="shared" si="24"/>
        <v>0</v>
      </c>
      <c r="O53" s="37">
        <f t="shared" si="25"/>
        <v>0</v>
      </c>
      <c r="P53" s="37">
        <f t="shared" si="26"/>
        <v>0</v>
      </c>
      <c r="Q53" s="37">
        <f t="shared" si="27"/>
        <v>0</v>
      </c>
      <c r="R53" s="37">
        <f t="shared" si="28"/>
        <v>0</v>
      </c>
      <c r="S53" s="37">
        <f t="shared" si="29"/>
        <v>0</v>
      </c>
      <c r="T53" s="37">
        <f t="shared" si="30"/>
        <v>0</v>
      </c>
      <c r="U53" s="37">
        <f t="shared" si="31"/>
        <v>0</v>
      </c>
      <c r="V53" s="37">
        <f t="shared" si="32"/>
        <v>0</v>
      </c>
    </row>
    <row r="54" spans="1:22" s="2" customFormat="1" x14ac:dyDescent="0.25">
      <c r="A54" s="513"/>
      <c r="B54" s="33" t="s">
        <v>44</v>
      </c>
      <c r="C54" s="52">
        <f>(Historical_Cost!$F23-SUM($V6,$V18))/COUNTA($C$25:$L$25)</f>
        <v>-0.1</v>
      </c>
      <c r="D54" s="52">
        <f>C54+(Historical_Cost!$F23-SUM($V6,$V18))/COUNTA($C$25:$L$25)</f>
        <v>-0.2</v>
      </c>
      <c r="E54" s="52">
        <f>D54+(Historical_Cost!$F23-SUM($V6,$V18))/COUNTA($C$25:$L$25)</f>
        <v>-0.30000000000000004</v>
      </c>
      <c r="F54" s="52">
        <f>E54+(Historical_Cost!$F23-SUM($V6,$V18))/COUNTA($C$25:$L$25)</f>
        <v>-0.4</v>
      </c>
      <c r="G54" s="52">
        <f>F54+(Historical_Cost!$F23-SUM($V6,$V18))/COUNTA($C$25:$L$25)</f>
        <v>-0.5</v>
      </c>
      <c r="H54" s="52">
        <f>G54+(Historical_Cost!$F23-SUM($V6,$V18))/COUNTA($C$25:$L$25)</f>
        <v>-0.6</v>
      </c>
      <c r="I54" s="52">
        <f>H54+(Historical_Cost!$F23-SUM($V6,$V18))/COUNTA($C$25:$L$25)</f>
        <v>-0.7</v>
      </c>
      <c r="J54" s="52">
        <f>I54+(Historical_Cost!$F23-SUM($V6,$V18))/COUNTA($C$25:$L$25)</f>
        <v>-0.79999999999999993</v>
      </c>
      <c r="K54" s="52">
        <f>J54+(Historical_Cost!$F23-SUM($V6,$V18))/COUNTA($C$25:$L$25)</f>
        <v>-0.89999999999999991</v>
      </c>
      <c r="L54" s="52">
        <f>K54+(Historical_Cost!$F23-SUM($V6,$V18))/COUNTA($C$25:$L$25)</f>
        <v>-0.99999999999999989</v>
      </c>
      <c r="M54" s="37">
        <f t="shared" si="33"/>
        <v>-0.99999999999999989</v>
      </c>
      <c r="N54" s="37">
        <f t="shared" si="24"/>
        <v>-0.99999999999999989</v>
      </c>
      <c r="O54" s="37">
        <f t="shared" si="25"/>
        <v>-0.99999999999999989</v>
      </c>
      <c r="P54" s="37">
        <f t="shared" si="26"/>
        <v>-0.99999999999999989</v>
      </c>
      <c r="Q54" s="37">
        <f t="shared" si="27"/>
        <v>-0.99999999999999989</v>
      </c>
      <c r="R54" s="37">
        <f t="shared" si="28"/>
        <v>-0.99999999999999989</v>
      </c>
      <c r="S54" s="37">
        <f t="shared" si="29"/>
        <v>-0.99999999999999989</v>
      </c>
      <c r="T54" s="37">
        <f t="shared" si="30"/>
        <v>-0.99999999999999989</v>
      </c>
      <c r="U54" s="37">
        <f t="shared" si="31"/>
        <v>-0.99999999999999989</v>
      </c>
      <c r="V54" s="37">
        <f t="shared" si="32"/>
        <v>-0.99999999999999989</v>
      </c>
    </row>
    <row r="55" spans="1:22" s="2" customFormat="1" x14ac:dyDescent="0.25">
      <c r="A55" s="513"/>
      <c r="B55" s="33" t="s">
        <v>81</v>
      </c>
      <c r="C55" s="52">
        <f>(Historical_Cost!$F24-SUM($V7,$V19))/COUNTA($C$25:$L$25)</f>
        <v>0</v>
      </c>
      <c r="D55" s="52">
        <f>C55+(Historical_Cost!$F24-SUM($V7,$V19))/COUNTA($C$25:$L$25)</f>
        <v>0</v>
      </c>
      <c r="E55" s="52">
        <f>D55+(Historical_Cost!$F24-SUM($V7,$V19))/COUNTA($C$25:$L$25)</f>
        <v>0</v>
      </c>
      <c r="F55" s="52">
        <f>E55+(Historical_Cost!$F24-SUM($V7,$V19))/COUNTA($C$25:$L$25)</f>
        <v>0</v>
      </c>
      <c r="G55" s="52">
        <f>F55+(Historical_Cost!$F24-SUM($V7,$V19))/COUNTA($C$25:$L$25)</f>
        <v>0</v>
      </c>
      <c r="H55" s="52">
        <f>G55+(Historical_Cost!$F24-SUM($V7,$V19))/COUNTA($C$25:$L$25)</f>
        <v>0</v>
      </c>
      <c r="I55" s="52">
        <f>H55+(Historical_Cost!$F24-SUM($V7,$V19))/COUNTA($C$25:$L$25)</f>
        <v>0</v>
      </c>
      <c r="J55" s="52">
        <f>I55+(Historical_Cost!$F24-SUM($V7,$V19))/COUNTA($C$25:$L$25)</f>
        <v>0</v>
      </c>
      <c r="K55" s="52">
        <f>J55+(Historical_Cost!$F24-SUM($V7,$V19))/COUNTA($C$25:$L$25)</f>
        <v>0</v>
      </c>
      <c r="L55" s="52">
        <f>K55+(Historical_Cost!$F24-SUM($V7,$V19))/COUNTA($C$25:$L$25)</f>
        <v>0</v>
      </c>
      <c r="M55" s="37">
        <f t="shared" si="33"/>
        <v>0</v>
      </c>
      <c r="N55" s="37">
        <f t="shared" si="24"/>
        <v>0</v>
      </c>
      <c r="O55" s="37">
        <f t="shared" si="25"/>
        <v>0</v>
      </c>
      <c r="P55" s="37">
        <f t="shared" si="26"/>
        <v>0</v>
      </c>
      <c r="Q55" s="37">
        <f t="shared" si="27"/>
        <v>0</v>
      </c>
      <c r="R55" s="37">
        <f t="shared" si="28"/>
        <v>0</v>
      </c>
      <c r="S55" s="37">
        <f t="shared" si="29"/>
        <v>0</v>
      </c>
      <c r="T55" s="37">
        <f t="shared" si="30"/>
        <v>0</v>
      </c>
      <c r="U55" s="37">
        <f t="shared" si="31"/>
        <v>0</v>
      </c>
      <c r="V55" s="37">
        <f t="shared" si="32"/>
        <v>0</v>
      </c>
    </row>
    <row r="56" spans="1:22" s="2" customFormat="1" x14ac:dyDescent="0.25">
      <c r="A56" s="513"/>
      <c r="B56" s="33" t="s">
        <v>42</v>
      </c>
      <c r="C56" s="52" t="e">
        <f>(Historical_Cost!#REF!-SUM($V8,$V20))/COUNTA($C$25:$L$25)</f>
        <v>#REF!</v>
      </c>
      <c r="D56" s="52" t="e">
        <f>C56+(Historical_Cost!#REF!-SUM($V8,$V20))/COUNTA($C$25:$L$25)</f>
        <v>#REF!</v>
      </c>
      <c r="E56" s="52" t="e">
        <f>D56+(Historical_Cost!#REF!-SUM($V8,$V20))/COUNTA($C$25:$L$25)</f>
        <v>#REF!</v>
      </c>
      <c r="F56" s="52" t="e">
        <f>E56+(Historical_Cost!#REF!-SUM($V8,$V20))/COUNTA($C$25:$L$25)</f>
        <v>#REF!</v>
      </c>
      <c r="G56" s="52" t="e">
        <f>F56+(Historical_Cost!#REF!-SUM($V8,$V20))/COUNTA($C$25:$L$25)</f>
        <v>#REF!</v>
      </c>
      <c r="H56" s="52" t="e">
        <f>G56+(Historical_Cost!#REF!-SUM($V8,$V20))/COUNTA($C$25:$L$25)</f>
        <v>#REF!</v>
      </c>
      <c r="I56" s="52" t="e">
        <f>H56+(Historical_Cost!#REF!-SUM($V8,$V20))/COUNTA($C$25:$L$25)</f>
        <v>#REF!</v>
      </c>
      <c r="J56" s="52" t="e">
        <f>I56+(Historical_Cost!#REF!-SUM($V8,$V20))/COUNTA($C$25:$L$25)</f>
        <v>#REF!</v>
      </c>
      <c r="K56" s="52" t="e">
        <f>J56+(Historical_Cost!#REF!-SUM($V8,$V20))/COUNTA($C$25:$L$25)</f>
        <v>#REF!</v>
      </c>
      <c r="L56" s="52" t="e">
        <f>K56+(Historical_Cost!#REF!-SUM($V8,$V20))/COUNTA($C$25:$L$25)</f>
        <v>#REF!</v>
      </c>
      <c r="M56" s="37" t="e">
        <f t="shared" si="33"/>
        <v>#REF!</v>
      </c>
      <c r="N56" s="37" t="e">
        <f t="shared" si="24"/>
        <v>#REF!</v>
      </c>
      <c r="O56" s="37" t="e">
        <f t="shared" si="25"/>
        <v>#REF!</v>
      </c>
      <c r="P56" s="37" t="e">
        <f t="shared" si="26"/>
        <v>#REF!</v>
      </c>
      <c r="Q56" s="37" t="e">
        <f t="shared" si="27"/>
        <v>#REF!</v>
      </c>
      <c r="R56" s="37" t="e">
        <f t="shared" si="28"/>
        <v>#REF!</v>
      </c>
      <c r="S56" s="37" t="e">
        <f t="shared" si="29"/>
        <v>#REF!</v>
      </c>
      <c r="T56" s="37" t="e">
        <f t="shared" si="30"/>
        <v>#REF!</v>
      </c>
      <c r="U56" s="37" t="e">
        <f t="shared" si="31"/>
        <v>#REF!</v>
      </c>
      <c r="V56" s="37" t="e">
        <f t="shared" si="32"/>
        <v>#REF!</v>
      </c>
    </row>
    <row r="57" spans="1:22" s="2" customFormat="1" x14ac:dyDescent="0.25">
      <c r="A57" s="513"/>
      <c r="B57" s="33" t="s">
        <v>45</v>
      </c>
      <c r="C57" s="52">
        <f>(Historical_Cost!$F25-SUM($V9,$V21))/COUNTA($C$25:$L$25)</f>
        <v>-0.3</v>
      </c>
      <c r="D57" s="52">
        <f>C57+(Historical_Cost!$F25-SUM($V9,$V21))/COUNTA($C$25:$L$25)</f>
        <v>-0.6</v>
      </c>
      <c r="E57" s="52">
        <f>D57+(Historical_Cost!$F25-SUM($V9,$V21))/COUNTA($C$25:$L$25)</f>
        <v>-0.89999999999999991</v>
      </c>
      <c r="F57" s="52">
        <f>E57+(Historical_Cost!$F25-SUM($V9,$V21))/COUNTA($C$25:$L$25)</f>
        <v>-1.2</v>
      </c>
      <c r="G57" s="52">
        <f>F57+(Historical_Cost!$F25-SUM($V9,$V21))/COUNTA($C$25:$L$25)</f>
        <v>-1.5</v>
      </c>
      <c r="H57" s="52">
        <f>G57+(Historical_Cost!$F25-SUM($V9,$V21))/COUNTA($C$25:$L$25)</f>
        <v>-1.8</v>
      </c>
      <c r="I57" s="52">
        <f>H57+(Historical_Cost!$F25-SUM($V9,$V21))/COUNTA($C$25:$L$25)</f>
        <v>-2.1</v>
      </c>
      <c r="J57" s="52">
        <f>I57+(Historical_Cost!$F25-SUM($V9,$V21))/COUNTA($C$25:$L$25)</f>
        <v>-2.4</v>
      </c>
      <c r="K57" s="52">
        <f>J57+(Historical_Cost!$F25-SUM($V9,$V21))/COUNTA($C$25:$L$25)</f>
        <v>-2.6999999999999997</v>
      </c>
      <c r="L57" s="52">
        <f>K57+(Historical_Cost!$F25-SUM($V9,$V21))/COUNTA($C$25:$L$25)</f>
        <v>-2.9999999999999996</v>
      </c>
      <c r="M57" s="37">
        <f t="shared" si="33"/>
        <v>-2.9999999999999996</v>
      </c>
      <c r="N57" s="37">
        <f t="shared" si="24"/>
        <v>-2.9999999999999996</v>
      </c>
      <c r="O57" s="37">
        <f t="shared" si="25"/>
        <v>-2.9999999999999996</v>
      </c>
      <c r="P57" s="37">
        <f t="shared" si="26"/>
        <v>-2.9999999999999996</v>
      </c>
      <c r="Q57" s="37">
        <f t="shared" si="27"/>
        <v>-2.9999999999999996</v>
      </c>
      <c r="R57" s="37">
        <f t="shared" si="28"/>
        <v>-2.9999999999999996</v>
      </c>
      <c r="S57" s="37">
        <f t="shared" si="29"/>
        <v>-2.9999999999999996</v>
      </c>
      <c r="T57" s="37">
        <f t="shared" si="30"/>
        <v>-2.9999999999999996</v>
      </c>
      <c r="U57" s="37">
        <f t="shared" si="31"/>
        <v>-2.9999999999999996</v>
      </c>
      <c r="V57" s="37">
        <f t="shared" si="32"/>
        <v>-2.9999999999999996</v>
      </c>
    </row>
    <row r="58" spans="1:22" s="2" customFormat="1" x14ac:dyDescent="0.25">
      <c r="A58" s="513"/>
      <c r="B58" s="50" t="s">
        <v>84</v>
      </c>
      <c r="C58" s="51" t="e">
        <f t="shared" ref="C58:V58" si="34">SUM(C50:C57)</f>
        <v>#REF!</v>
      </c>
      <c r="D58" s="51" t="e">
        <f t="shared" si="34"/>
        <v>#REF!</v>
      </c>
      <c r="E58" s="51" t="e">
        <f t="shared" si="34"/>
        <v>#REF!</v>
      </c>
      <c r="F58" s="51" t="e">
        <f t="shared" si="34"/>
        <v>#REF!</v>
      </c>
      <c r="G58" s="51" t="e">
        <f t="shared" si="34"/>
        <v>#REF!</v>
      </c>
      <c r="H58" s="51" t="e">
        <f t="shared" si="34"/>
        <v>#REF!</v>
      </c>
      <c r="I58" s="51" t="e">
        <f t="shared" si="34"/>
        <v>#REF!</v>
      </c>
      <c r="J58" s="51" t="e">
        <f t="shared" si="34"/>
        <v>#REF!</v>
      </c>
      <c r="K58" s="51" t="e">
        <f t="shared" si="34"/>
        <v>#REF!</v>
      </c>
      <c r="L58" s="51" t="e">
        <f t="shared" si="34"/>
        <v>#REF!</v>
      </c>
      <c r="M58" s="51" t="e">
        <f t="shared" si="34"/>
        <v>#REF!</v>
      </c>
      <c r="N58" s="51" t="e">
        <f t="shared" si="34"/>
        <v>#REF!</v>
      </c>
      <c r="O58" s="51" t="e">
        <f t="shared" si="34"/>
        <v>#REF!</v>
      </c>
      <c r="P58" s="51" t="e">
        <f t="shared" si="34"/>
        <v>#REF!</v>
      </c>
      <c r="Q58" s="51" t="e">
        <f t="shared" si="34"/>
        <v>#REF!</v>
      </c>
      <c r="R58" s="51" t="e">
        <f t="shared" si="34"/>
        <v>#REF!</v>
      </c>
      <c r="S58" s="51" t="e">
        <f t="shared" si="34"/>
        <v>#REF!</v>
      </c>
      <c r="T58" s="51" t="e">
        <f t="shared" si="34"/>
        <v>#REF!</v>
      </c>
      <c r="U58" s="51" t="e">
        <f t="shared" si="34"/>
        <v>#REF!</v>
      </c>
      <c r="V58" s="51" t="e">
        <f t="shared" si="34"/>
        <v>#REF!</v>
      </c>
    </row>
    <row r="59" spans="1:22" s="2" customFormat="1" x14ac:dyDescent="0.25">
      <c r="A59" s="48"/>
      <c r="B59" s="48"/>
      <c r="C59" s="49"/>
      <c r="D59" s="49"/>
      <c r="E59" s="49"/>
      <c r="F59" s="49"/>
      <c r="G59" s="49"/>
      <c r="H59" s="49"/>
      <c r="I59" s="49"/>
      <c r="J59" s="49"/>
      <c r="K59" s="49"/>
      <c r="L59" s="49"/>
      <c r="M59" s="49"/>
      <c r="N59" s="49"/>
      <c r="O59" s="49"/>
      <c r="P59" s="49"/>
      <c r="Q59" s="49"/>
      <c r="R59" s="49"/>
      <c r="S59" s="49"/>
      <c r="T59" s="49"/>
      <c r="U59" s="49"/>
      <c r="V59" s="49"/>
    </row>
    <row r="60" spans="1:22" s="2" customFormat="1" x14ac:dyDescent="0.25">
      <c r="A60" s="515" t="s">
        <v>122</v>
      </c>
      <c r="B60" s="515"/>
      <c r="C60" s="49"/>
      <c r="D60" s="49"/>
      <c r="E60" s="49"/>
      <c r="F60" s="49"/>
      <c r="G60" s="49"/>
      <c r="H60" s="49"/>
      <c r="I60" s="49"/>
      <c r="J60" s="49"/>
      <c r="K60" s="49"/>
      <c r="L60" s="49"/>
      <c r="M60" s="49"/>
      <c r="N60" s="49"/>
      <c r="O60" s="49"/>
      <c r="P60" s="49"/>
      <c r="Q60" s="49"/>
      <c r="R60" s="49"/>
      <c r="S60" s="49"/>
      <c r="T60" s="49"/>
      <c r="U60" s="49"/>
      <c r="V60" s="49"/>
    </row>
    <row r="61" spans="1:22" s="2" customFormat="1" x14ac:dyDescent="0.25">
      <c r="A61" s="53" t="s">
        <v>16</v>
      </c>
      <c r="B61" s="53" t="s">
        <v>82</v>
      </c>
      <c r="C61" s="53">
        <v>2021</v>
      </c>
      <c r="D61" s="54">
        <v>2022</v>
      </c>
      <c r="E61" s="53">
        <v>2023</v>
      </c>
      <c r="F61" s="54">
        <v>2024</v>
      </c>
      <c r="G61" s="53">
        <v>2025</v>
      </c>
      <c r="H61" s="54">
        <v>2026</v>
      </c>
      <c r="I61" s="53">
        <v>2027</v>
      </c>
      <c r="J61" s="54">
        <v>2028</v>
      </c>
      <c r="K61" s="53">
        <v>2029</v>
      </c>
      <c r="L61" s="54">
        <v>2030</v>
      </c>
      <c r="M61" s="53">
        <v>2031</v>
      </c>
      <c r="N61" s="54">
        <v>2032</v>
      </c>
      <c r="O61" s="53">
        <v>2033</v>
      </c>
      <c r="P61" s="54">
        <v>2034</v>
      </c>
      <c r="Q61" s="53">
        <v>2035</v>
      </c>
      <c r="R61" s="54">
        <v>2036</v>
      </c>
      <c r="S61" s="53">
        <v>2037</v>
      </c>
      <c r="T61" s="54">
        <v>2038</v>
      </c>
      <c r="U61" s="53">
        <v>2039</v>
      </c>
      <c r="V61" s="54">
        <v>2040</v>
      </c>
    </row>
    <row r="62" spans="1:22" s="2" customFormat="1" x14ac:dyDescent="0.25">
      <c r="A62" s="510" t="s">
        <v>87</v>
      </c>
      <c r="B62" s="33" t="s">
        <v>43</v>
      </c>
      <c r="C62" s="37">
        <f t="shared" ref="C62:C69" si="35">SUM(C2,C14,C26)</f>
        <v>5.5</v>
      </c>
      <c r="D62" s="37">
        <f t="shared" ref="D62:V69" si="36">SUM(D2,D14,D26)</f>
        <v>5</v>
      </c>
      <c r="E62" s="37">
        <f t="shared" si="36"/>
        <v>4.5</v>
      </c>
      <c r="F62" s="37">
        <f t="shared" si="36"/>
        <v>4</v>
      </c>
      <c r="G62" s="37">
        <f t="shared" si="36"/>
        <v>3.5</v>
      </c>
      <c r="H62" s="37">
        <f t="shared" si="36"/>
        <v>3</v>
      </c>
      <c r="I62" s="37">
        <f t="shared" si="36"/>
        <v>2.5</v>
      </c>
      <c r="J62" s="37">
        <f t="shared" si="36"/>
        <v>2</v>
      </c>
      <c r="K62" s="37">
        <f t="shared" si="36"/>
        <v>1.5</v>
      </c>
      <c r="L62" s="37">
        <f t="shared" si="36"/>
        <v>1</v>
      </c>
      <c r="M62" s="37">
        <f t="shared" si="36"/>
        <v>1</v>
      </c>
      <c r="N62" s="37">
        <f t="shared" si="36"/>
        <v>1</v>
      </c>
      <c r="O62" s="37">
        <f t="shared" si="36"/>
        <v>1</v>
      </c>
      <c r="P62" s="37">
        <f t="shared" si="36"/>
        <v>1</v>
      </c>
      <c r="Q62" s="37">
        <f t="shared" si="36"/>
        <v>1</v>
      </c>
      <c r="R62" s="37">
        <f t="shared" si="36"/>
        <v>1</v>
      </c>
      <c r="S62" s="37">
        <f t="shared" si="36"/>
        <v>1</v>
      </c>
      <c r="T62" s="37">
        <f t="shared" si="36"/>
        <v>1</v>
      </c>
      <c r="U62" s="37">
        <f t="shared" si="36"/>
        <v>1</v>
      </c>
      <c r="V62" s="37">
        <f t="shared" si="36"/>
        <v>1</v>
      </c>
    </row>
    <row r="63" spans="1:22" s="2" customFormat="1" x14ac:dyDescent="0.25">
      <c r="A63" s="511"/>
      <c r="B63" s="33" t="s">
        <v>41</v>
      </c>
      <c r="C63" s="37">
        <f t="shared" si="35"/>
        <v>16.7</v>
      </c>
      <c r="D63" s="37">
        <f t="shared" ref="D63:R63" si="37">SUM(D3,D15,D27)</f>
        <v>16.399999999999999</v>
      </c>
      <c r="E63" s="37">
        <f t="shared" si="37"/>
        <v>16.100000000000001</v>
      </c>
      <c r="F63" s="37">
        <f t="shared" si="37"/>
        <v>15.8</v>
      </c>
      <c r="G63" s="37">
        <f t="shared" si="37"/>
        <v>15.5</v>
      </c>
      <c r="H63" s="37">
        <f t="shared" si="37"/>
        <v>15.2</v>
      </c>
      <c r="I63" s="37">
        <f t="shared" si="37"/>
        <v>14.9</v>
      </c>
      <c r="J63" s="37">
        <f t="shared" si="37"/>
        <v>14.6</v>
      </c>
      <c r="K63" s="37">
        <f t="shared" si="37"/>
        <v>14.3</v>
      </c>
      <c r="L63" s="37">
        <f t="shared" si="37"/>
        <v>14</v>
      </c>
      <c r="M63" s="37">
        <f t="shared" si="37"/>
        <v>14</v>
      </c>
      <c r="N63" s="37">
        <f t="shared" si="37"/>
        <v>14</v>
      </c>
      <c r="O63" s="37">
        <f t="shared" si="37"/>
        <v>14</v>
      </c>
      <c r="P63" s="37">
        <f t="shared" si="37"/>
        <v>14</v>
      </c>
      <c r="Q63" s="37">
        <f t="shared" si="37"/>
        <v>14</v>
      </c>
      <c r="R63" s="37">
        <f t="shared" si="37"/>
        <v>14</v>
      </c>
      <c r="S63" s="37">
        <f t="shared" si="36"/>
        <v>14</v>
      </c>
      <c r="T63" s="37">
        <f t="shared" si="36"/>
        <v>14</v>
      </c>
      <c r="U63" s="37">
        <f t="shared" si="36"/>
        <v>14</v>
      </c>
      <c r="V63" s="37">
        <f t="shared" si="36"/>
        <v>14</v>
      </c>
    </row>
    <row r="64" spans="1:22" s="2" customFormat="1" x14ac:dyDescent="0.25">
      <c r="A64" s="511"/>
      <c r="B64" s="33" t="s">
        <v>40</v>
      </c>
      <c r="C64" s="37">
        <f t="shared" si="35"/>
        <v>7.9</v>
      </c>
      <c r="D64" s="37">
        <f t="shared" si="36"/>
        <v>7.8</v>
      </c>
      <c r="E64" s="37">
        <f t="shared" si="36"/>
        <v>7.7</v>
      </c>
      <c r="F64" s="37">
        <f t="shared" si="36"/>
        <v>7.6</v>
      </c>
      <c r="G64" s="37">
        <f t="shared" si="36"/>
        <v>7.5</v>
      </c>
      <c r="H64" s="37">
        <f t="shared" si="36"/>
        <v>7.4</v>
      </c>
      <c r="I64" s="37">
        <f t="shared" si="36"/>
        <v>7.3</v>
      </c>
      <c r="J64" s="37">
        <f t="shared" si="36"/>
        <v>7.2</v>
      </c>
      <c r="K64" s="37">
        <f t="shared" si="36"/>
        <v>7.1</v>
      </c>
      <c r="L64" s="37">
        <f t="shared" si="36"/>
        <v>7</v>
      </c>
      <c r="M64" s="37">
        <f t="shared" si="36"/>
        <v>7</v>
      </c>
      <c r="N64" s="37">
        <f t="shared" si="36"/>
        <v>7</v>
      </c>
      <c r="O64" s="37">
        <f t="shared" si="36"/>
        <v>7</v>
      </c>
      <c r="P64" s="37">
        <f t="shared" si="36"/>
        <v>7</v>
      </c>
      <c r="Q64" s="37">
        <f t="shared" si="36"/>
        <v>7</v>
      </c>
      <c r="R64" s="37">
        <f t="shared" si="36"/>
        <v>7</v>
      </c>
      <c r="S64" s="37">
        <f t="shared" si="36"/>
        <v>7</v>
      </c>
      <c r="T64" s="37">
        <f t="shared" si="36"/>
        <v>7</v>
      </c>
      <c r="U64" s="37">
        <f t="shared" si="36"/>
        <v>7</v>
      </c>
      <c r="V64" s="37">
        <f t="shared" si="36"/>
        <v>7</v>
      </c>
    </row>
    <row r="65" spans="1:22" s="2" customFormat="1" x14ac:dyDescent="0.25">
      <c r="A65" s="511"/>
      <c r="B65" s="33" t="s">
        <v>80</v>
      </c>
      <c r="C65" s="37">
        <f t="shared" si="35"/>
        <v>0</v>
      </c>
      <c r="D65" s="37">
        <f t="shared" si="36"/>
        <v>0</v>
      </c>
      <c r="E65" s="37">
        <f t="shared" si="36"/>
        <v>0</v>
      </c>
      <c r="F65" s="37">
        <f t="shared" si="36"/>
        <v>0</v>
      </c>
      <c r="G65" s="37">
        <f t="shared" si="36"/>
        <v>0</v>
      </c>
      <c r="H65" s="37">
        <f t="shared" si="36"/>
        <v>0</v>
      </c>
      <c r="I65" s="37">
        <f t="shared" si="36"/>
        <v>0</v>
      </c>
      <c r="J65" s="37">
        <f t="shared" si="36"/>
        <v>0</v>
      </c>
      <c r="K65" s="37">
        <f t="shared" si="36"/>
        <v>0</v>
      </c>
      <c r="L65" s="37">
        <f t="shared" si="36"/>
        <v>0</v>
      </c>
      <c r="M65" s="37">
        <f t="shared" si="36"/>
        <v>0</v>
      </c>
      <c r="N65" s="37">
        <f t="shared" si="36"/>
        <v>0</v>
      </c>
      <c r="O65" s="37">
        <f t="shared" si="36"/>
        <v>0</v>
      </c>
      <c r="P65" s="37">
        <f t="shared" si="36"/>
        <v>0</v>
      </c>
      <c r="Q65" s="37">
        <f t="shared" si="36"/>
        <v>0</v>
      </c>
      <c r="R65" s="37">
        <f t="shared" si="36"/>
        <v>0</v>
      </c>
      <c r="S65" s="37">
        <f t="shared" si="36"/>
        <v>0</v>
      </c>
      <c r="T65" s="37">
        <f t="shared" si="36"/>
        <v>0</v>
      </c>
      <c r="U65" s="37">
        <f t="shared" si="36"/>
        <v>0</v>
      </c>
      <c r="V65" s="37">
        <f t="shared" si="36"/>
        <v>0</v>
      </c>
    </row>
    <row r="66" spans="1:22" s="2" customFormat="1" x14ac:dyDescent="0.25">
      <c r="A66" s="511"/>
      <c r="B66" s="33" t="s">
        <v>44</v>
      </c>
      <c r="C66" s="37">
        <f t="shared" si="35"/>
        <v>0.9</v>
      </c>
      <c r="D66" s="37">
        <f t="shared" si="36"/>
        <v>0.8</v>
      </c>
      <c r="E66" s="37">
        <f t="shared" si="36"/>
        <v>0.7</v>
      </c>
      <c r="F66" s="37">
        <f t="shared" si="36"/>
        <v>0.6</v>
      </c>
      <c r="G66" s="37">
        <f t="shared" si="36"/>
        <v>0.5</v>
      </c>
      <c r="H66" s="37">
        <f t="shared" si="36"/>
        <v>0.4</v>
      </c>
      <c r="I66" s="37">
        <f t="shared" si="36"/>
        <v>0.30000000000000004</v>
      </c>
      <c r="J66" s="37">
        <f t="shared" si="36"/>
        <v>0.20000000000000007</v>
      </c>
      <c r="K66" s="37">
        <f t="shared" si="36"/>
        <v>0.10000000000000009</v>
      </c>
      <c r="L66" s="37">
        <f t="shared" si="36"/>
        <v>0</v>
      </c>
      <c r="M66" s="37">
        <f t="shared" si="36"/>
        <v>0</v>
      </c>
      <c r="N66" s="37">
        <f t="shared" si="36"/>
        <v>0</v>
      </c>
      <c r="O66" s="37">
        <f t="shared" si="36"/>
        <v>0</v>
      </c>
      <c r="P66" s="37">
        <f t="shared" si="36"/>
        <v>0</v>
      </c>
      <c r="Q66" s="37">
        <f t="shared" si="36"/>
        <v>0</v>
      </c>
      <c r="R66" s="37">
        <f t="shared" si="36"/>
        <v>0</v>
      </c>
      <c r="S66" s="37">
        <f t="shared" si="36"/>
        <v>0</v>
      </c>
      <c r="T66" s="37">
        <f t="shared" si="36"/>
        <v>0</v>
      </c>
      <c r="U66" s="37">
        <f t="shared" si="36"/>
        <v>0</v>
      </c>
      <c r="V66" s="37">
        <f t="shared" si="36"/>
        <v>0</v>
      </c>
    </row>
    <row r="67" spans="1:22" s="2" customFormat="1" x14ac:dyDescent="0.25">
      <c r="A67" s="511"/>
      <c r="B67" s="33" t="s">
        <v>81</v>
      </c>
      <c r="C67" s="37">
        <f t="shared" si="35"/>
        <v>0</v>
      </c>
      <c r="D67" s="37">
        <f t="shared" si="36"/>
        <v>0</v>
      </c>
      <c r="E67" s="37">
        <f t="shared" si="36"/>
        <v>0</v>
      </c>
      <c r="F67" s="37">
        <f t="shared" si="36"/>
        <v>0</v>
      </c>
      <c r="G67" s="37">
        <f t="shared" si="36"/>
        <v>0</v>
      </c>
      <c r="H67" s="37">
        <f t="shared" si="36"/>
        <v>0</v>
      </c>
      <c r="I67" s="37">
        <f t="shared" si="36"/>
        <v>0</v>
      </c>
      <c r="J67" s="37">
        <f t="shared" si="36"/>
        <v>0</v>
      </c>
      <c r="K67" s="37">
        <f t="shared" si="36"/>
        <v>0</v>
      </c>
      <c r="L67" s="37">
        <f t="shared" si="36"/>
        <v>0</v>
      </c>
      <c r="M67" s="37">
        <f t="shared" si="36"/>
        <v>0</v>
      </c>
      <c r="N67" s="37">
        <f t="shared" si="36"/>
        <v>0</v>
      </c>
      <c r="O67" s="37">
        <f t="shared" si="36"/>
        <v>0</v>
      </c>
      <c r="P67" s="37">
        <f t="shared" si="36"/>
        <v>0</v>
      </c>
      <c r="Q67" s="37">
        <f t="shared" si="36"/>
        <v>0</v>
      </c>
      <c r="R67" s="37">
        <f t="shared" si="36"/>
        <v>0</v>
      </c>
      <c r="S67" s="37">
        <f t="shared" si="36"/>
        <v>0</v>
      </c>
      <c r="T67" s="37">
        <f t="shared" si="36"/>
        <v>0</v>
      </c>
      <c r="U67" s="37">
        <f t="shared" si="36"/>
        <v>0</v>
      </c>
      <c r="V67" s="37">
        <f t="shared" si="36"/>
        <v>0</v>
      </c>
    </row>
    <row r="68" spans="1:22" s="2" customFormat="1" x14ac:dyDescent="0.25">
      <c r="A68" s="511"/>
      <c r="B68" s="33" t="s">
        <v>42</v>
      </c>
      <c r="C68" s="37" t="e">
        <f t="shared" si="35"/>
        <v>#REF!</v>
      </c>
      <c r="D68" s="37" t="e">
        <f t="shared" si="36"/>
        <v>#REF!</v>
      </c>
      <c r="E68" s="37" t="e">
        <f t="shared" si="36"/>
        <v>#REF!</v>
      </c>
      <c r="F68" s="37" t="e">
        <f t="shared" si="36"/>
        <v>#REF!</v>
      </c>
      <c r="G68" s="37" t="e">
        <f t="shared" si="36"/>
        <v>#REF!</v>
      </c>
      <c r="H68" s="37" t="e">
        <f t="shared" si="36"/>
        <v>#REF!</v>
      </c>
      <c r="I68" s="37" t="e">
        <f t="shared" si="36"/>
        <v>#REF!</v>
      </c>
      <c r="J68" s="37" t="e">
        <f t="shared" si="36"/>
        <v>#REF!</v>
      </c>
      <c r="K68" s="37" t="e">
        <f t="shared" si="36"/>
        <v>#REF!</v>
      </c>
      <c r="L68" s="37" t="e">
        <f t="shared" si="36"/>
        <v>#REF!</v>
      </c>
      <c r="M68" s="37" t="e">
        <f t="shared" si="36"/>
        <v>#REF!</v>
      </c>
      <c r="N68" s="37" t="e">
        <f t="shared" si="36"/>
        <v>#REF!</v>
      </c>
      <c r="O68" s="37" t="e">
        <f t="shared" si="36"/>
        <v>#REF!</v>
      </c>
      <c r="P68" s="37" t="e">
        <f t="shared" si="36"/>
        <v>#REF!</v>
      </c>
      <c r="Q68" s="37" t="e">
        <f t="shared" si="36"/>
        <v>#REF!</v>
      </c>
      <c r="R68" s="37" t="e">
        <f t="shared" si="36"/>
        <v>#REF!</v>
      </c>
      <c r="S68" s="37" t="e">
        <f t="shared" si="36"/>
        <v>#REF!</v>
      </c>
      <c r="T68" s="37" t="e">
        <f t="shared" si="36"/>
        <v>#REF!</v>
      </c>
      <c r="U68" s="37" t="e">
        <f t="shared" si="36"/>
        <v>#REF!</v>
      </c>
      <c r="V68" s="37" t="e">
        <f t="shared" si="36"/>
        <v>#REF!</v>
      </c>
    </row>
    <row r="69" spans="1:22" s="2" customFormat="1" x14ac:dyDescent="0.25">
      <c r="A69" s="511"/>
      <c r="B69" s="33" t="s">
        <v>45</v>
      </c>
      <c r="C69" s="37">
        <f t="shared" si="35"/>
        <v>2.7</v>
      </c>
      <c r="D69" s="37">
        <f t="shared" si="36"/>
        <v>2.4</v>
      </c>
      <c r="E69" s="37">
        <f t="shared" si="36"/>
        <v>2.1</v>
      </c>
      <c r="F69" s="37">
        <f t="shared" si="36"/>
        <v>1.8</v>
      </c>
      <c r="G69" s="37">
        <f t="shared" si="36"/>
        <v>1.5</v>
      </c>
      <c r="H69" s="37">
        <f t="shared" si="36"/>
        <v>1.2</v>
      </c>
      <c r="I69" s="37">
        <f t="shared" si="36"/>
        <v>0.89999999999999991</v>
      </c>
      <c r="J69" s="37">
        <f t="shared" si="36"/>
        <v>0.60000000000000009</v>
      </c>
      <c r="K69" s="37">
        <f t="shared" si="36"/>
        <v>0.30000000000000027</v>
      </c>
      <c r="L69" s="37">
        <f t="shared" si="36"/>
        <v>0</v>
      </c>
      <c r="M69" s="37">
        <f t="shared" si="36"/>
        <v>0</v>
      </c>
      <c r="N69" s="37">
        <f t="shared" si="36"/>
        <v>0</v>
      </c>
      <c r="O69" s="37">
        <f t="shared" si="36"/>
        <v>0</v>
      </c>
      <c r="P69" s="37">
        <f t="shared" si="36"/>
        <v>0</v>
      </c>
      <c r="Q69" s="37">
        <f t="shared" si="36"/>
        <v>0</v>
      </c>
      <c r="R69" s="37">
        <f t="shared" si="36"/>
        <v>0</v>
      </c>
      <c r="S69" s="37">
        <f t="shared" si="36"/>
        <v>0</v>
      </c>
      <c r="T69" s="37">
        <f t="shared" si="36"/>
        <v>0</v>
      </c>
      <c r="U69" s="37">
        <f t="shared" si="36"/>
        <v>0</v>
      </c>
      <c r="V69" s="37">
        <f t="shared" si="36"/>
        <v>0</v>
      </c>
    </row>
    <row r="70" spans="1:22" s="2" customFormat="1" x14ac:dyDescent="0.25">
      <c r="A70" s="512"/>
      <c r="B70" s="50" t="s">
        <v>84</v>
      </c>
      <c r="C70" s="51" t="e">
        <f>SUM(C62:C69)</f>
        <v>#REF!</v>
      </c>
      <c r="D70" s="51" t="e">
        <f t="shared" ref="D70:V70" si="38">SUM(D62:D69)</f>
        <v>#REF!</v>
      </c>
      <c r="E70" s="51" t="e">
        <f t="shared" si="38"/>
        <v>#REF!</v>
      </c>
      <c r="F70" s="51" t="e">
        <f t="shared" si="38"/>
        <v>#REF!</v>
      </c>
      <c r="G70" s="51" t="e">
        <f t="shared" si="38"/>
        <v>#REF!</v>
      </c>
      <c r="H70" s="51" t="e">
        <f t="shared" si="38"/>
        <v>#REF!</v>
      </c>
      <c r="I70" s="51" t="e">
        <f t="shared" si="38"/>
        <v>#REF!</v>
      </c>
      <c r="J70" s="51" t="e">
        <f t="shared" si="38"/>
        <v>#REF!</v>
      </c>
      <c r="K70" s="51" t="e">
        <f t="shared" si="38"/>
        <v>#REF!</v>
      </c>
      <c r="L70" s="51" t="e">
        <f t="shared" si="38"/>
        <v>#REF!</v>
      </c>
      <c r="M70" s="51" t="e">
        <f t="shared" si="38"/>
        <v>#REF!</v>
      </c>
      <c r="N70" s="51" t="e">
        <f t="shared" si="38"/>
        <v>#REF!</v>
      </c>
      <c r="O70" s="51" t="e">
        <f t="shared" si="38"/>
        <v>#REF!</v>
      </c>
      <c r="P70" s="51" t="e">
        <f t="shared" si="38"/>
        <v>#REF!</v>
      </c>
      <c r="Q70" s="51" t="e">
        <f t="shared" si="38"/>
        <v>#REF!</v>
      </c>
      <c r="R70" s="51" t="e">
        <f t="shared" si="38"/>
        <v>#REF!</v>
      </c>
      <c r="S70" s="51" t="e">
        <f t="shared" si="38"/>
        <v>#REF!</v>
      </c>
      <c r="T70" s="51" t="e">
        <f t="shared" si="38"/>
        <v>#REF!</v>
      </c>
      <c r="U70" s="51" t="e">
        <f t="shared" si="38"/>
        <v>#REF!</v>
      </c>
      <c r="V70" s="51" t="e">
        <f t="shared" si="38"/>
        <v>#REF!</v>
      </c>
    </row>
    <row r="71" spans="1:22" s="2" customFormat="1" x14ac:dyDescent="0.25">
      <c r="A71" s="48"/>
      <c r="B71" s="48"/>
      <c r="C71" s="49"/>
      <c r="D71" s="49"/>
      <c r="E71" s="49"/>
      <c r="F71" s="49"/>
      <c r="G71" s="49"/>
      <c r="H71" s="49"/>
      <c r="I71" s="49"/>
      <c r="J71" s="49"/>
      <c r="K71" s="49"/>
      <c r="L71" s="49"/>
      <c r="M71" s="49"/>
      <c r="N71" s="49"/>
      <c r="O71" s="49"/>
      <c r="P71" s="49"/>
      <c r="Q71" s="49"/>
      <c r="R71" s="49"/>
      <c r="S71" s="49"/>
      <c r="T71" s="49"/>
      <c r="U71" s="49"/>
      <c r="V71" s="49"/>
    </row>
    <row r="72" spans="1:22" s="2" customFormat="1" x14ac:dyDescent="0.25">
      <c r="A72" s="515" t="s">
        <v>123</v>
      </c>
      <c r="B72" s="515"/>
      <c r="C72" s="49"/>
      <c r="D72" s="49"/>
      <c r="E72" s="49"/>
      <c r="F72" s="49"/>
      <c r="G72" s="49"/>
      <c r="H72" s="49"/>
      <c r="I72" s="49"/>
      <c r="J72" s="49"/>
      <c r="K72" s="49"/>
      <c r="L72" s="49"/>
      <c r="M72" s="49"/>
      <c r="N72" s="49"/>
      <c r="O72" s="49"/>
      <c r="P72" s="49"/>
      <c r="Q72" s="49"/>
      <c r="R72" s="49"/>
      <c r="S72" s="49"/>
      <c r="T72" s="49"/>
      <c r="U72" s="49"/>
      <c r="V72" s="49"/>
    </row>
    <row r="73" spans="1:22" s="2" customFormat="1" x14ac:dyDescent="0.25">
      <c r="A73" s="53" t="s">
        <v>16</v>
      </c>
      <c r="B73" s="53" t="s">
        <v>82</v>
      </c>
      <c r="C73" s="53">
        <v>2021</v>
      </c>
      <c r="D73" s="54">
        <v>2022</v>
      </c>
      <c r="E73" s="53">
        <v>2023</v>
      </c>
      <c r="F73" s="54">
        <v>2024</v>
      </c>
      <c r="G73" s="53">
        <v>2025</v>
      </c>
      <c r="H73" s="54">
        <v>2026</v>
      </c>
      <c r="I73" s="53">
        <v>2027</v>
      </c>
      <c r="J73" s="54">
        <v>2028</v>
      </c>
      <c r="K73" s="53">
        <v>2029</v>
      </c>
      <c r="L73" s="54">
        <v>2030</v>
      </c>
      <c r="M73" s="53">
        <v>2031</v>
      </c>
      <c r="N73" s="54">
        <v>2032</v>
      </c>
      <c r="O73" s="53">
        <v>2033</v>
      </c>
      <c r="P73" s="54">
        <v>2034</v>
      </c>
      <c r="Q73" s="53">
        <v>2035</v>
      </c>
      <c r="R73" s="54">
        <v>2036</v>
      </c>
      <c r="S73" s="53">
        <v>2037</v>
      </c>
      <c r="T73" s="54">
        <v>2038</v>
      </c>
      <c r="U73" s="53">
        <v>2039</v>
      </c>
      <c r="V73" s="54">
        <v>2040</v>
      </c>
    </row>
    <row r="74" spans="1:22" s="2" customFormat="1" x14ac:dyDescent="0.25">
      <c r="A74" s="510" t="s">
        <v>87</v>
      </c>
      <c r="B74" s="33" t="s">
        <v>43</v>
      </c>
      <c r="C74" s="37">
        <f t="shared" ref="C74:C81" si="39">SUM(C2,C14,C38)</f>
        <v>5.5</v>
      </c>
      <c r="D74" s="37">
        <f t="shared" ref="D74:V81" si="40">SUM(D2,D14,D38)</f>
        <v>5</v>
      </c>
      <c r="E74" s="37">
        <f t="shared" si="40"/>
        <v>4.5</v>
      </c>
      <c r="F74" s="37">
        <f t="shared" si="40"/>
        <v>4</v>
      </c>
      <c r="G74" s="37">
        <f t="shared" si="40"/>
        <v>3.5</v>
      </c>
      <c r="H74" s="37">
        <f t="shared" si="40"/>
        <v>3</v>
      </c>
      <c r="I74" s="37">
        <f t="shared" si="40"/>
        <v>2.5</v>
      </c>
      <c r="J74" s="37">
        <f t="shared" si="40"/>
        <v>2</v>
      </c>
      <c r="K74" s="37">
        <f t="shared" si="40"/>
        <v>1.5</v>
      </c>
      <c r="L74" s="37">
        <f t="shared" si="40"/>
        <v>1</v>
      </c>
      <c r="M74" s="37">
        <f t="shared" si="40"/>
        <v>1</v>
      </c>
      <c r="N74" s="37">
        <f t="shared" si="40"/>
        <v>1</v>
      </c>
      <c r="O74" s="37">
        <f t="shared" si="40"/>
        <v>1</v>
      </c>
      <c r="P74" s="37">
        <f t="shared" si="40"/>
        <v>1</v>
      </c>
      <c r="Q74" s="37">
        <f t="shared" si="40"/>
        <v>1</v>
      </c>
      <c r="R74" s="37">
        <f t="shared" si="40"/>
        <v>1</v>
      </c>
      <c r="S74" s="37">
        <f t="shared" si="40"/>
        <v>1</v>
      </c>
      <c r="T74" s="37">
        <f t="shared" si="40"/>
        <v>1</v>
      </c>
      <c r="U74" s="37">
        <f t="shared" si="40"/>
        <v>1</v>
      </c>
      <c r="V74" s="37">
        <f t="shared" si="40"/>
        <v>1</v>
      </c>
    </row>
    <row r="75" spans="1:22" s="2" customFormat="1" x14ac:dyDescent="0.25">
      <c r="A75" s="511"/>
      <c r="B75" s="33" t="s">
        <v>41</v>
      </c>
      <c r="C75" s="37">
        <f t="shared" si="39"/>
        <v>16.899999999999999</v>
      </c>
      <c r="D75" s="37">
        <f t="shared" ref="D75:R75" si="41">SUM(D3,D15,D39)</f>
        <v>16.8</v>
      </c>
      <c r="E75" s="37">
        <f t="shared" si="41"/>
        <v>16.7</v>
      </c>
      <c r="F75" s="37">
        <f t="shared" si="41"/>
        <v>16.600000000000001</v>
      </c>
      <c r="G75" s="37">
        <f t="shared" si="41"/>
        <v>16.5</v>
      </c>
      <c r="H75" s="37">
        <f t="shared" si="41"/>
        <v>16.399999999999999</v>
      </c>
      <c r="I75" s="37">
        <f t="shared" si="41"/>
        <v>16.3</v>
      </c>
      <c r="J75" s="37">
        <f t="shared" si="41"/>
        <v>16.2</v>
      </c>
      <c r="K75" s="37">
        <f t="shared" si="41"/>
        <v>16.100000000000001</v>
      </c>
      <c r="L75" s="37">
        <f t="shared" si="41"/>
        <v>16</v>
      </c>
      <c r="M75" s="37">
        <f t="shared" si="41"/>
        <v>16</v>
      </c>
      <c r="N75" s="37">
        <f t="shared" si="41"/>
        <v>16</v>
      </c>
      <c r="O75" s="37">
        <f t="shared" si="41"/>
        <v>16</v>
      </c>
      <c r="P75" s="37">
        <f t="shared" si="41"/>
        <v>16</v>
      </c>
      <c r="Q75" s="37">
        <f t="shared" si="41"/>
        <v>16</v>
      </c>
      <c r="R75" s="37">
        <f t="shared" si="41"/>
        <v>16</v>
      </c>
      <c r="S75" s="37">
        <f t="shared" si="40"/>
        <v>16</v>
      </c>
      <c r="T75" s="37">
        <f t="shared" si="40"/>
        <v>16</v>
      </c>
      <c r="U75" s="37">
        <f t="shared" si="40"/>
        <v>16</v>
      </c>
      <c r="V75" s="37">
        <f t="shared" si="40"/>
        <v>16</v>
      </c>
    </row>
    <row r="76" spans="1:22" s="2" customFormat="1" x14ac:dyDescent="0.25">
      <c r="A76" s="511"/>
      <c r="B76" s="33" t="s">
        <v>40</v>
      </c>
      <c r="C76" s="37">
        <f t="shared" si="39"/>
        <v>7.9</v>
      </c>
      <c r="D76" s="37">
        <f t="shared" si="40"/>
        <v>7.8</v>
      </c>
      <c r="E76" s="37">
        <f t="shared" si="40"/>
        <v>7.7</v>
      </c>
      <c r="F76" s="37">
        <f t="shared" si="40"/>
        <v>7.6</v>
      </c>
      <c r="G76" s="37">
        <f t="shared" si="40"/>
        <v>7.5</v>
      </c>
      <c r="H76" s="37">
        <f t="shared" si="40"/>
        <v>7.4</v>
      </c>
      <c r="I76" s="37">
        <f t="shared" si="40"/>
        <v>7.3</v>
      </c>
      <c r="J76" s="37">
        <f t="shared" si="40"/>
        <v>7.2</v>
      </c>
      <c r="K76" s="37">
        <f t="shared" si="40"/>
        <v>7.1</v>
      </c>
      <c r="L76" s="37">
        <f t="shared" si="40"/>
        <v>7</v>
      </c>
      <c r="M76" s="37">
        <f t="shared" si="40"/>
        <v>7</v>
      </c>
      <c r="N76" s="37">
        <f t="shared" si="40"/>
        <v>7</v>
      </c>
      <c r="O76" s="37">
        <f t="shared" si="40"/>
        <v>7</v>
      </c>
      <c r="P76" s="37">
        <f t="shared" si="40"/>
        <v>7</v>
      </c>
      <c r="Q76" s="37">
        <f t="shared" si="40"/>
        <v>7</v>
      </c>
      <c r="R76" s="37">
        <f t="shared" si="40"/>
        <v>7</v>
      </c>
      <c r="S76" s="37">
        <f t="shared" si="40"/>
        <v>7</v>
      </c>
      <c r="T76" s="37">
        <f t="shared" si="40"/>
        <v>7</v>
      </c>
      <c r="U76" s="37">
        <f t="shared" si="40"/>
        <v>7</v>
      </c>
      <c r="V76" s="37">
        <f t="shared" si="40"/>
        <v>7</v>
      </c>
    </row>
    <row r="77" spans="1:22" s="2" customFormat="1" x14ac:dyDescent="0.25">
      <c r="A77" s="511"/>
      <c r="B77" s="33" t="s">
        <v>80</v>
      </c>
      <c r="C77" s="37">
        <f t="shared" si="39"/>
        <v>0</v>
      </c>
      <c r="D77" s="37">
        <f t="shared" si="40"/>
        <v>0</v>
      </c>
      <c r="E77" s="37">
        <f t="shared" si="40"/>
        <v>0</v>
      </c>
      <c r="F77" s="37">
        <f t="shared" si="40"/>
        <v>0</v>
      </c>
      <c r="G77" s="37">
        <f t="shared" si="40"/>
        <v>0</v>
      </c>
      <c r="H77" s="37">
        <f t="shared" si="40"/>
        <v>0</v>
      </c>
      <c r="I77" s="37">
        <f t="shared" si="40"/>
        <v>0</v>
      </c>
      <c r="J77" s="37">
        <f t="shared" si="40"/>
        <v>0</v>
      </c>
      <c r="K77" s="37">
        <f t="shared" si="40"/>
        <v>0</v>
      </c>
      <c r="L77" s="37">
        <f t="shared" si="40"/>
        <v>0</v>
      </c>
      <c r="M77" s="37">
        <f t="shared" si="40"/>
        <v>0</v>
      </c>
      <c r="N77" s="37">
        <f t="shared" si="40"/>
        <v>0</v>
      </c>
      <c r="O77" s="37">
        <f t="shared" si="40"/>
        <v>0</v>
      </c>
      <c r="P77" s="37">
        <f t="shared" si="40"/>
        <v>0</v>
      </c>
      <c r="Q77" s="37">
        <f t="shared" si="40"/>
        <v>0</v>
      </c>
      <c r="R77" s="37">
        <f t="shared" si="40"/>
        <v>0</v>
      </c>
      <c r="S77" s="37">
        <f t="shared" si="40"/>
        <v>0</v>
      </c>
      <c r="T77" s="37">
        <f t="shared" si="40"/>
        <v>0</v>
      </c>
      <c r="U77" s="37">
        <f t="shared" si="40"/>
        <v>0</v>
      </c>
      <c r="V77" s="37">
        <f t="shared" si="40"/>
        <v>0</v>
      </c>
    </row>
    <row r="78" spans="1:22" s="2" customFormat="1" x14ac:dyDescent="0.25">
      <c r="A78" s="511"/>
      <c r="B78" s="33" t="s">
        <v>44</v>
      </c>
      <c r="C78" s="37">
        <f t="shared" si="39"/>
        <v>0.9</v>
      </c>
      <c r="D78" s="37">
        <f t="shared" si="40"/>
        <v>0.8</v>
      </c>
      <c r="E78" s="37">
        <f t="shared" si="40"/>
        <v>0.7</v>
      </c>
      <c r="F78" s="37">
        <f t="shared" si="40"/>
        <v>0.6</v>
      </c>
      <c r="G78" s="37">
        <f t="shared" si="40"/>
        <v>0.5</v>
      </c>
      <c r="H78" s="37">
        <f t="shared" si="40"/>
        <v>0.4</v>
      </c>
      <c r="I78" s="37">
        <f t="shared" si="40"/>
        <v>0.30000000000000004</v>
      </c>
      <c r="J78" s="37">
        <f t="shared" si="40"/>
        <v>0.20000000000000007</v>
      </c>
      <c r="K78" s="37">
        <f t="shared" si="40"/>
        <v>0.10000000000000009</v>
      </c>
      <c r="L78" s="37">
        <f t="shared" si="40"/>
        <v>0</v>
      </c>
      <c r="M78" s="37">
        <f t="shared" si="40"/>
        <v>0</v>
      </c>
      <c r="N78" s="37">
        <f t="shared" si="40"/>
        <v>0</v>
      </c>
      <c r="O78" s="37">
        <f t="shared" si="40"/>
        <v>0</v>
      </c>
      <c r="P78" s="37">
        <f t="shared" si="40"/>
        <v>0</v>
      </c>
      <c r="Q78" s="37">
        <f t="shared" si="40"/>
        <v>0</v>
      </c>
      <c r="R78" s="37">
        <f t="shared" si="40"/>
        <v>0</v>
      </c>
      <c r="S78" s="37">
        <f t="shared" si="40"/>
        <v>0</v>
      </c>
      <c r="T78" s="37">
        <f t="shared" si="40"/>
        <v>0</v>
      </c>
      <c r="U78" s="37">
        <f t="shared" si="40"/>
        <v>0</v>
      </c>
      <c r="V78" s="37">
        <f t="shared" si="40"/>
        <v>0</v>
      </c>
    </row>
    <row r="79" spans="1:22" s="2" customFormat="1" x14ac:dyDescent="0.25">
      <c r="A79" s="511"/>
      <c r="B79" s="33" t="s">
        <v>81</v>
      </c>
      <c r="C79" s="37">
        <f t="shared" si="39"/>
        <v>0</v>
      </c>
      <c r="D79" s="37">
        <f t="shared" si="40"/>
        <v>0</v>
      </c>
      <c r="E79" s="37">
        <f t="shared" si="40"/>
        <v>0</v>
      </c>
      <c r="F79" s="37">
        <f t="shared" si="40"/>
        <v>0</v>
      </c>
      <c r="G79" s="37">
        <f t="shared" si="40"/>
        <v>0</v>
      </c>
      <c r="H79" s="37">
        <f t="shared" si="40"/>
        <v>0</v>
      </c>
      <c r="I79" s="37">
        <f t="shared" si="40"/>
        <v>0</v>
      </c>
      <c r="J79" s="37">
        <f t="shared" si="40"/>
        <v>0</v>
      </c>
      <c r="K79" s="37">
        <f t="shared" si="40"/>
        <v>0</v>
      </c>
      <c r="L79" s="37">
        <f t="shared" si="40"/>
        <v>0</v>
      </c>
      <c r="M79" s="37">
        <f t="shared" si="40"/>
        <v>0</v>
      </c>
      <c r="N79" s="37">
        <f t="shared" si="40"/>
        <v>0</v>
      </c>
      <c r="O79" s="37">
        <f t="shared" si="40"/>
        <v>0</v>
      </c>
      <c r="P79" s="37">
        <f t="shared" si="40"/>
        <v>0</v>
      </c>
      <c r="Q79" s="37">
        <f t="shared" si="40"/>
        <v>0</v>
      </c>
      <c r="R79" s="37">
        <f t="shared" si="40"/>
        <v>0</v>
      </c>
      <c r="S79" s="37">
        <f t="shared" si="40"/>
        <v>0</v>
      </c>
      <c r="T79" s="37">
        <f t="shared" si="40"/>
        <v>0</v>
      </c>
      <c r="U79" s="37">
        <f t="shared" si="40"/>
        <v>0</v>
      </c>
      <c r="V79" s="37">
        <f t="shared" si="40"/>
        <v>0</v>
      </c>
    </row>
    <row r="80" spans="1:22" s="2" customFormat="1" x14ac:dyDescent="0.25">
      <c r="A80" s="511"/>
      <c r="B80" s="33" t="s">
        <v>42</v>
      </c>
      <c r="C80" s="37" t="e">
        <f t="shared" si="39"/>
        <v>#REF!</v>
      </c>
      <c r="D80" s="37" t="e">
        <f t="shared" si="40"/>
        <v>#REF!</v>
      </c>
      <c r="E80" s="37" t="e">
        <f t="shared" si="40"/>
        <v>#REF!</v>
      </c>
      <c r="F80" s="37" t="e">
        <f t="shared" si="40"/>
        <v>#REF!</v>
      </c>
      <c r="G80" s="37" t="e">
        <f t="shared" si="40"/>
        <v>#REF!</v>
      </c>
      <c r="H80" s="37" t="e">
        <f t="shared" si="40"/>
        <v>#REF!</v>
      </c>
      <c r="I80" s="37" t="e">
        <f t="shared" si="40"/>
        <v>#REF!</v>
      </c>
      <c r="J80" s="37" t="e">
        <f t="shared" si="40"/>
        <v>#REF!</v>
      </c>
      <c r="K80" s="37" t="e">
        <f t="shared" si="40"/>
        <v>#REF!</v>
      </c>
      <c r="L80" s="37" t="e">
        <f t="shared" si="40"/>
        <v>#REF!</v>
      </c>
      <c r="M80" s="37" t="e">
        <f t="shared" si="40"/>
        <v>#REF!</v>
      </c>
      <c r="N80" s="37" t="e">
        <f t="shared" si="40"/>
        <v>#REF!</v>
      </c>
      <c r="O80" s="37" t="e">
        <f t="shared" si="40"/>
        <v>#REF!</v>
      </c>
      <c r="P80" s="37" t="e">
        <f t="shared" si="40"/>
        <v>#REF!</v>
      </c>
      <c r="Q80" s="37" t="e">
        <f t="shared" si="40"/>
        <v>#REF!</v>
      </c>
      <c r="R80" s="37" t="e">
        <f t="shared" si="40"/>
        <v>#REF!</v>
      </c>
      <c r="S80" s="37" t="e">
        <f t="shared" si="40"/>
        <v>#REF!</v>
      </c>
      <c r="T80" s="37" t="e">
        <f t="shared" si="40"/>
        <v>#REF!</v>
      </c>
      <c r="U80" s="37" t="e">
        <f t="shared" si="40"/>
        <v>#REF!</v>
      </c>
      <c r="V80" s="37" t="e">
        <f t="shared" si="40"/>
        <v>#REF!</v>
      </c>
    </row>
    <row r="81" spans="1:22" s="2" customFormat="1" x14ac:dyDescent="0.25">
      <c r="A81" s="511"/>
      <c r="B81" s="33" t="s">
        <v>45</v>
      </c>
      <c r="C81" s="37">
        <f t="shared" si="39"/>
        <v>2.7</v>
      </c>
      <c r="D81" s="37">
        <f t="shared" si="40"/>
        <v>2.4</v>
      </c>
      <c r="E81" s="37">
        <f t="shared" si="40"/>
        <v>2.1</v>
      </c>
      <c r="F81" s="37">
        <f t="shared" si="40"/>
        <v>1.8</v>
      </c>
      <c r="G81" s="37">
        <f t="shared" si="40"/>
        <v>1.5</v>
      </c>
      <c r="H81" s="37">
        <f t="shared" si="40"/>
        <v>1.2</v>
      </c>
      <c r="I81" s="37">
        <f t="shared" si="40"/>
        <v>0.89999999999999991</v>
      </c>
      <c r="J81" s="37">
        <f t="shared" si="40"/>
        <v>0.60000000000000009</v>
      </c>
      <c r="K81" s="37">
        <f t="shared" si="40"/>
        <v>0.30000000000000027</v>
      </c>
      <c r="L81" s="37">
        <f t="shared" si="40"/>
        <v>0</v>
      </c>
      <c r="M81" s="37">
        <f t="shared" si="40"/>
        <v>0</v>
      </c>
      <c r="N81" s="37">
        <f t="shared" si="40"/>
        <v>0</v>
      </c>
      <c r="O81" s="37">
        <f t="shared" si="40"/>
        <v>0</v>
      </c>
      <c r="P81" s="37">
        <f t="shared" si="40"/>
        <v>0</v>
      </c>
      <c r="Q81" s="37">
        <f t="shared" si="40"/>
        <v>0</v>
      </c>
      <c r="R81" s="37">
        <f t="shared" si="40"/>
        <v>0</v>
      </c>
      <c r="S81" s="37">
        <f t="shared" si="40"/>
        <v>0</v>
      </c>
      <c r="T81" s="37">
        <f t="shared" si="40"/>
        <v>0</v>
      </c>
      <c r="U81" s="37">
        <f t="shared" si="40"/>
        <v>0</v>
      </c>
      <c r="V81" s="37">
        <f t="shared" si="40"/>
        <v>0</v>
      </c>
    </row>
    <row r="82" spans="1:22" s="2" customFormat="1" x14ac:dyDescent="0.25">
      <c r="A82" s="512"/>
      <c r="B82" s="50" t="s">
        <v>84</v>
      </c>
      <c r="C82" s="51" t="e">
        <f>SUM(C74:C81)</f>
        <v>#REF!</v>
      </c>
      <c r="D82" s="51" t="e">
        <f t="shared" ref="D82:V82" si="42">SUM(D74:D81)</f>
        <v>#REF!</v>
      </c>
      <c r="E82" s="51" t="e">
        <f t="shared" si="42"/>
        <v>#REF!</v>
      </c>
      <c r="F82" s="51" t="e">
        <f t="shared" si="42"/>
        <v>#REF!</v>
      </c>
      <c r="G82" s="51" t="e">
        <f t="shared" si="42"/>
        <v>#REF!</v>
      </c>
      <c r="H82" s="51" t="e">
        <f t="shared" si="42"/>
        <v>#REF!</v>
      </c>
      <c r="I82" s="51" t="e">
        <f t="shared" si="42"/>
        <v>#REF!</v>
      </c>
      <c r="J82" s="51" t="e">
        <f t="shared" si="42"/>
        <v>#REF!</v>
      </c>
      <c r="K82" s="51" t="e">
        <f t="shared" si="42"/>
        <v>#REF!</v>
      </c>
      <c r="L82" s="51" t="e">
        <f t="shared" si="42"/>
        <v>#REF!</v>
      </c>
      <c r="M82" s="51" t="e">
        <f t="shared" si="42"/>
        <v>#REF!</v>
      </c>
      <c r="N82" s="51" t="e">
        <f t="shared" si="42"/>
        <v>#REF!</v>
      </c>
      <c r="O82" s="51" t="e">
        <f t="shared" si="42"/>
        <v>#REF!</v>
      </c>
      <c r="P82" s="51" t="e">
        <f t="shared" si="42"/>
        <v>#REF!</v>
      </c>
      <c r="Q82" s="51" t="e">
        <f t="shared" si="42"/>
        <v>#REF!</v>
      </c>
      <c r="R82" s="51" t="e">
        <f t="shared" si="42"/>
        <v>#REF!</v>
      </c>
      <c r="S82" s="51" t="e">
        <f t="shared" si="42"/>
        <v>#REF!</v>
      </c>
      <c r="T82" s="51" t="e">
        <f t="shared" si="42"/>
        <v>#REF!</v>
      </c>
      <c r="U82" s="51" t="e">
        <f t="shared" si="42"/>
        <v>#REF!</v>
      </c>
      <c r="V82" s="51" t="e">
        <f t="shared" si="42"/>
        <v>#REF!</v>
      </c>
    </row>
    <row r="83" spans="1:22" s="2" customFormat="1" x14ac:dyDescent="0.25">
      <c r="A83" s="48"/>
      <c r="B83" s="48"/>
      <c r="C83" s="49"/>
      <c r="D83" s="49"/>
      <c r="E83" s="49"/>
      <c r="F83" s="49"/>
      <c r="G83" s="49"/>
      <c r="H83" s="49"/>
      <c r="I83" s="49"/>
      <c r="J83" s="49"/>
      <c r="K83" s="49"/>
      <c r="L83" s="49"/>
      <c r="M83" s="49"/>
      <c r="N83" s="49"/>
      <c r="O83" s="49"/>
      <c r="P83" s="49"/>
      <c r="Q83" s="49"/>
      <c r="R83" s="49"/>
      <c r="S83" s="49"/>
      <c r="T83" s="49"/>
      <c r="U83" s="49"/>
      <c r="V83" s="49"/>
    </row>
    <row r="84" spans="1:22" s="2" customFormat="1" x14ac:dyDescent="0.25">
      <c r="A84" s="516" t="s">
        <v>124</v>
      </c>
      <c r="B84" s="516"/>
      <c r="C84" s="49"/>
      <c r="D84" s="49"/>
      <c r="E84" s="49"/>
      <c r="F84" s="49"/>
      <c r="G84" s="49"/>
      <c r="H84" s="49"/>
      <c r="I84" s="49"/>
      <c r="J84" s="49"/>
      <c r="K84" s="49"/>
      <c r="L84" s="49"/>
      <c r="M84" s="49"/>
      <c r="N84" s="49"/>
      <c r="O84" s="49"/>
      <c r="P84" s="49"/>
      <c r="Q84" s="49"/>
      <c r="R84" s="49"/>
      <c r="S84" s="49"/>
      <c r="T84" s="49"/>
      <c r="U84" s="49"/>
      <c r="V84" s="49"/>
    </row>
    <row r="85" spans="1:22" s="2" customFormat="1" x14ac:dyDescent="0.25">
      <c r="A85" s="30" t="s">
        <v>16</v>
      </c>
      <c r="B85" s="30" t="s">
        <v>82</v>
      </c>
      <c r="C85" s="30">
        <v>2021</v>
      </c>
      <c r="D85" s="31">
        <v>2022</v>
      </c>
      <c r="E85" s="30">
        <v>2023</v>
      </c>
      <c r="F85" s="31">
        <v>2024</v>
      </c>
      <c r="G85" s="30">
        <v>2025</v>
      </c>
      <c r="H85" s="31">
        <v>2026</v>
      </c>
      <c r="I85" s="30">
        <v>2027</v>
      </c>
      <c r="J85" s="31">
        <v>2028</v>
      </c>
      <c r="K85" s="30">
        <v>2029</v>
      </c>
      <c r="L85" s="31">
        <v>2030</v>
      </c>
      <c r="M85" s="30">
        <v>2031</v>
      </c>
      <c r="N85" s="31">
        <v>2032</v>
      </c>
      <c r="O85" s="30">
        <v>2033</v>
      </c>
      <c r="P85" s="31">
        <v>2034</v>
      </c>
      <c r="Q85" s="30">
        <v>2035</v>
      </c>
      <c r="R85" s="31">
        <v>2036</v>
      </c>
      <c r="S85" s="30">
        <v>2037</v>
      </c>
      <c r="T85" s="31">
        <v>2038</v>
      </c>
      <c r="U85" s="30">
        <v>2039</v>
      </c>
      <c r="V85" s="31">
        <v>2040</v>
      </c>
    </row>
    <row r="86" spans="1:22" s="2" customFormat="1" x14ac:dyDescent="0.25">
      <c r="A86" s="513" t="s">
        <v>87</v>
      </c>
      <c r="B86" s="33" t="s">
        <v>43</v>
      </c>
      <c r="C86" s="37">
        <f t="shared" ref="C86:C93" si="43">SUM(C2,C14,C50)</f>
        <v>5.5</v>
      </c>
      <c r="D86" s="37">
        <f t="shared" ref="D86:V93" si="44">SUM(D2,D14,D50)</f>
        <v>5</v>
      </c>
      <c r="E86" s="37">
        <f t="shared" si="44"/>
        <v>4.5</v>
      </c>
      <c r="F86" s="37">
        <f t="shared" si="44"/>
        <v>4</v>
      </c>
      <c r="G86" s="37">
        <f t="shared" si="44"/>
        <v>3.5</v>
      </c>
      <c r="H86" s="37">
        <f t="shared" si="44"/>
        <v>3</v>
      </c>
      <c r="I86" s="37">
        <f t="shared" si="44"/>
        <v>2.5</v>
      </c>
      <c r="J86" s="37">
        <f t="shared" si="44"/>
        <v>2</v>
      </c>
      <c r="K86" s="37">
        <f t="shared" si="44"/>
        <v>1.5</v>
      </c>
      <c r="L86" s="37">
        <f t="shared" si="44"/>
        <v>1</v>
      </c>
      <c r="M86" s="37">
        <f t="shared" si="44"/>
        <v>1</v>
      </c>
      <c r="N86" s="37">
        <f t="shared" si="44"/>
        <v>1</v>
      </c>
      <c r="O86" s="37">
        <f t="shared" si="44"/>
        <v>1</v>
      </c>
      <c r="P86" s="37">
        <f t="shared" si="44"/>
        <v>1</v>
      </c>
      <c r="Q86" s="37">
        <f t="shared" si="44"/>
        <v>1</v>
      </c>
      <c r="R86" s="37">
        <f t="shared" si="44"/>
        <v>1</v>
      </c>
      <c r="S86" s="37">
        <f t="shared" si="44"/>
        <v>1</v>
      </c>
      <c r="T86" s="37">
        <f t="shared" si="44"/>
        <v>1</v>
      </c>
      <c r="U86" s="37">
        <f t="shared" si="44"/>
        <v>1</v>
      </c>
      <c r="V86" s="37">
        <f t="shared" si="44"/>
        <v>1</v>
      </c>
    </row>
    <row r="87" spans="1:22" s="2" customFormat="1" x14ac:dyDescent="0.25">
      <c r="A87" s="513"/>
      <c r="B87" s="33" t="s">
        <v>41</v>
      </c>
      <c r="C87" s="37">
        <f t="shared" si="43"/>
        <v>17</v>
      </c>
      <c r="D87" s="37">
        <f t="shared" ref="D87:R87" si="45">SUM(D3,D15,D51)</f>
        <v>17</v>
      </c>
      <c r="E87" s="37">
        <f t="shared" si="45"/>
        <v>17</v>
      </c>
      <c r="F87" s="37">
        <f t="shared" si="45"/>
        <v>17</v>
      </c>
      <c r="G87" s="37">
        <f t="shared" si="45"/>
        <v>17</v>
      </c>
      <c r="H87" s="37">
        <f t="shared" si="45"/>
        <v>17</v>
      </c>
      <c r="I87" s="37">
        <f t="shared" si="45"/>
        <v>17</v>
      </c>
      <c r="J87" s="37">
        <f t="shared" si="45"/>
        <v>17</v>
      </c>
      <c r="K87" s="37">
        <f t="shared" si="45"/>
        <v>17</v>
      </c>
      <c r="L87" s="37">
        <f t="shared" si="45"/>
        <v>17</v>
      </c>
      <c r="M87" s="37">
        <f t="shared" si="45"/>
        <v>17</v>
      </c>
      <c r="N87" s="37">
        <f t="shared" si="45"/>
        <v>17</v>
      </c>
      <c r="O87" s="37">
        <f t="shared" si="45"/>
        <v>17</v>
      </c>
      <c r="P87" s="37">
        <f t="shared" si="45"/>
        <v>17</v>
      </c>
      <c r="Q87" s="37">
        <f t="shared" si="45"/>
        <v>17</v>
      </c>
      <c r="R87" s="37">
        <f t="shared" si="45"/>
        <v>17</v>
      </c>
      <c r="S87" s="37">
        <f t="shared" si="44"/>
        <v>17</v>
      </c>
      <c r="T87" s="37">
        <f t="shared" si="44"/>
        <v>17</v>
      </c>
      <c r="U87" s="37">
        <f t="shared" si="44"/>
        <v>17</v>
      </c>
      <c r="V87" s="37">
        <f t="shared" si="44"/>
        <v>17</v>
      </c>
    </row>
    <row r="88" spans="1:22" s="2" customFormat="1" x14ac:dyDescent="0.25">
      <c r="A88" s="513"/>
      <c r="B88" s="33" t="s">
        <v>40</v>
      </c>
      <c r="C88" s="37">
        <f t="shared" si="43"/>
        <v>8</v>
      </c>
      <c r="D88" s="37">
        <f t="shared" si="44"/>
        <v>8</v>
      </c>
      <c r="E88" s="37">
        <f t="shared" si="44"/>
        <v>8</v>
      </c>
      <c r="F88" s="37">
        <f t="shared" si="44"/>
        <v>8</v>
      </c>
      <c r="G88" s="37">
        <f t="shared" si="44"/>
        <v>8</v>
      </c>
      <c r="H88" s="37">
        <f t="shared" si="44"/>
        <v>8</v>
      </c>
      <c r="I88" s="37">
        <f t="shared" si="44"/>
        <v>8</v>
      </c>
      <c r="J88" s="37">
        <f t="shared" si="44"/>
        <v>8</v>
      </c>
      <c r="K88" s="37">
        <f t="shared" si="44"/>
        <v>8</v>
      </c>
      <c r="L88" s="37">
        <f t="shared" si="44"/>
        <v>8</v>
      </c>
      <c r="M88" s="37">
        <f t="shared" si="44"/>
        <v>8</v>
      </c>
      <c r="N88" s="37">
        <f t="shared" si="44"/>
        <v>8</v>
      </c>
      <c r="O88" s="37">
        <f t="shared" si="44"/>
        <v>8</v>
      </c>
      <c r="P88" s="37">
        <f t="shared" si="44"/>
        <v>8</v>
      </c>
      <c r="Q88" s="37">
        <f t="shared" si="44"/>
        <v>8</v>
      </c>
      <c r="R88" s="37">
        <f t="shared" si="44"/>
        <v>8</v>
      </c>
      <c r="S88" s="37">
        <f t="shared" si="44"/>
        <v>8</v>
      </c>
      <c r="T88" s="37">
        <f t="shared" si="44"/>
        <v>8</v>
      </c>
      <c r="U88" s="37">
        <f t="shared" si="44"/>
        <v>8</v>
      </c>
      <c r="V88" s="37">
        <f t="shared" si="44"/>
        <v>8</v>
      </c>
    </row>
    <row r="89" spans="1:22" s="2" customFormat="1" x14ac:dyDescent="0.25">
      <c r="A89" s="513"/>
      <c r="B89" s="33" t="s">
        <v>80</v>
      </c>
      <c r="C89" s="37">
        <f t="shared" si="43"/>
        <v>0</v>
      </c>
      <c r="D89" s="37">
        <f t="shared" si="44"/>
        <v>0</v>
      </c>
      <c r="E89" s="37">
        <f t="shared" si="44"/>
        <v>0</v>
      </c>
      <c r="F89" s="37">
        <f t="shared" si="44"/>
        <v>0</v>
      </c>
      <c r="G89" s="37">
        <f t="shared" si="44"/>
        <v>0</v>
      </c>
      <c r="H89" s="37">
        <f t="shared" si="44"/>
        <v>0</v>
      </c>
      <c r="I89" s="37">
        <f t="shared" si="44"/>
        <v>0</v>
      </c>
      <c r="J89" s="37">
        <f t="shared" si="44"/>
        <v>0</v>
      </c>
      <c r="K89" s="37">
        <f t="shared" si="44"/>
        <v>0</v>
      </c>
      <c r="L89" s="37">
        <f t="shared" si="44"/>
        <v>0</v>
      </c>
      <c r="M89" s="37">
        <f t="shared" si="44"/>
        <v>0</v>
      </c>
      <c r="N89" s="37">
        <f t="shared" si="44"/>
        <v>0</v>
      </c>
      <c r="O89" s="37">
        <f t="shared" si="44"/>
        <v>0</v>
      </c>
      <c r="P89" s="37">
        <f t="shared" si="44"/>
        <v>0</v>
      </c>
      <c r="Q89" s="37">
        <f t="shared" si="44"/>
        <v>0</v>
      </c>
      <c r="R89" s="37">
        <f t="shared" si="44"/>
        <v>0</v>
      </c>
      <c r="S89" s="37">
        <f t="shared" si="44"/>
        <v>0</v>
      </c>
      <c r="T89" s="37">
        <f t="shared" si="44"/>
        <v>0</v>
      </c>
      <c r="U89" s="37">
        <f t="shared" si="44"/>
        <v>0</v>
      </c>
      <c r="V89" s="37">
        <f t="shared" si="44"/>
        <v>0</v>
      </c>
    </row>
    <row r="90" spans="1:22" s="2" customFormat="1" x14ac:dyDescent="0.25">
      <c r="A90" s="513"/>
      <c r="B90" s="33" t="s">
        <v>44</v>
      </c>
      <c r="C90" s="37">
        <f t="shared" si="43"/>
        <v>0.9</v>
      </c>
      <c r="D90" s="37">
        <f t="shared" si="44"/>
        <v>0.8</v>
      </c>
      <c r="E90" s="37">
        <f t="shared" si="44"/>
        <v>0.7</v>
      </c>
      <c r="F90" s="37">
        <f t="shared" si="44"/>
        <v>0.6</v>
      </c>
      <c r="G90" s="37">
        <f t="shared" si="44"/>
        <v>0.5</v>
      </c>
      <c r="H90" s="37">
        <f t="shared" si="44"/>
        <v>0.4</v>
      </c>
      <c r="I90" s="37">
        <f t="shared" si="44"/>
        <v>0.30000000000000004</v>
      </c>
      <c r="J90" s="37">
        <f t="shared" si="44"/>
        <v>0.20000000000000007</v>
      </c>
      <c r="K90" s="37">
        <f t="shared" si="44"/>
        <v>0.10000000000000009</v>
      </c>
      <c r="L90" s="37">
        <f t="shared" si="44"/>
        <v>0</v>
      </c>
      <c r="M90" s="37">
        <f t="shared" si="44"/>
        <v>0</v>
      </c>
      <c r="N90" s="37">
        <f t="shared" si="44"/>
        <v>0</v>
      </c>
      <c r="O90" s="37">
        <f t="shared" si="44"/>
        <v>0</v>
      </c>
      <c r="P90" s="37">
        <f t="shared" si="44"/>
        <v>0</v>
      </c>
      <c r="Q90" s="37">
        <f t="shared" si="44"/>
        <v>0</v>
      </c>
      <c r="R90" s="37">
        <f t="shared" si="44"/>
        <v>0</v>
      </c>
      <c r="S90" s="37">
        <f t="shared" si="44"/>
        <v>0</v>
      </c>
      <c r="T90" s="37">
        <f t="shared" si="44"/>
        <v>0</v>
      </c>
      <c r="U90" s="37">
        <f t="shared" si="44"/>
        <v>0</v>
      </c>
      <c r="V90" s="37">
        <f t="shared" si="44"/>
        <v>0</v>
      </c>
    </row>
    <row r="91" spans="1:22" s="2" customFormat="1" x14ac:dyDescent="0.25">
      <c r="A91" s="513"/>
      <c r="B91" s="33" t="s">
        <v>81</v>
      </c>
      <c r="C91" s="37">
        <f t="shared" si="43"/>
        <v>0</v>
      </c>
      <c r="D91" s="37">
        <f t="shared" si="44"/>
        <v>0</v>
      </c>
      <c r="E91" s="37">
        <f t="shared" si="44"/>
        <v>0</v>
      </c>
      <c r="F91" s="37">
        <f t="shared" si="44"/>
        <v>0</v>
      </c>
      <c r="G91" s="37">
        <f t="shared" si="44"/>
        <v>0</v>
      </c>
      <c r="H91" s="37">
        <f t="shared" si="44"/>
        <v>0</v>
      </c>
      <c r="I91" s="37">
        <f t="shared" si="44"/>
        <v>0</v>
      </c>
      <c r="J91" s="37">
        <f t="shared" si="44"/>
        <v>0</v>
      </c>
      <c r="K91" s="37">
        <f t="shared" si="44"/>
        <v>0</v>
      </c>
      <c r="L91" s="37">
        <f t="shared" si="44"/>
        <v>0</v>
      </c>
      <c r="M91" s="37">
        <f t="shared" si="44"/>
        <v>0</v>
      </c>
      <c r="N91" s="37">
        <f t="shared" si="44"/>
        <v>0</v>
      </c>
      <c r="O91" s="37">
        <f t="shared" si="44"/>
        <v>0</v>
      </c>
      <c r="P91" s="37">
        <f t="shared" si="44"/>
        <v>0</v>
      </c>
      <c r="Q91" s="37">
        <f t="shared" si="44"/>
        <v>0</v>
      </c>
      <c r="R91" s="37">
        <f t="shared" si="44"/>
        <v>0</v>
      </c>
      <c r="S91" s="37">
        <f t="shared" si="44"/>
        <v>0</v>
      </c>
      <c r="T91" s="37">
        <f t="shared" si="44"/>
        <v>0</v>
      </c>
      <c r="U91" s="37">
        <f t="shared" si="44"/>
        <v>0</v>
      </c>
      <c r="V91" s="37">
        <f t="shared" si="44"/>
        <v>0</v>
      </c>
    </row>
    <row r="92" spans="1:22" s="2" customFormat="1" x14ac:dyDescent="0.25">
      <c r="A92" s="513"/>
      <c r="B92" s="33" t="s">
        <v>42</v>
      </c>
      <c r="C92" s="37" t="e">
        <f t="shared" si="43"/>
        <v>#REF!</v>
      </c>
      <c r="D92" s="37" t="e">
        <f t="shared" si="44"/>
        <v>#REF!</v>
      </c>
      <c r="E92" s="37" t="e">
        <f t="shared" si="44"/>
        <v>#REF!</v>
      </c>
      <c r="F92" s="37" t="e">
        <f t="shared" si="44"/>
        <v>#REF!</v>
      </c>
      <c r="G92" s="37" t="e">
        <f t="shared" si="44"/>
        <v>#REF!</v>
      </c>
      <c r="H92" s="37" t="e">
        <f t="shared" si="44"/>
        <v>#REF!</v>
      </c>
      <c r="I92" s="37" t="e">
        <f t="shared" si="44"/>
        <v>#REF!</v>
      </c>
      <c r="J92" s="37" t="e">
        <f t="shared" si="44"/>
        <v>#REF!</v>
      </c>
      <c r="K92" s="37" t="e">
        <f t="shared" si="44"/>
        <v>#REF!</v>
      </c>
      <c r="L92" s="37" t="e">
        <f t="shared" si="44"/>
        <v>#REF!</v>
      </c>
      <c r="M92" s="37" t="e">
        <f t="shared" si="44"/>
        <v>#REF!</v>
      </c>
      <c r="N92" s="37" t="e">
        <f t="shared" si="44"/>
        <v>#REF!</v>
      </c>
      <c r="O92" s="37" t="e">
        <f t="shared" si="44"/>
        <v>#REF!</v>
      </c>
      <c r="P92" s="37" t="e">
        <f t="shared" si="44"/>
        <v>#REF!</v>
      </c>
      <c r="Q92" s="37" t="e">
        <f t="shared" si="44"/>
        <v>#REF!</v>
      </c>
      <c r="R92" s="37" t="e">
        <f t="shared" si="44"/>
        <v>#REF!</v>
      </c>
      <c r="S92" s="37" t="e">
        <f t="shared" si="44"/>
        <v>#REF!</v>
      </c>
      <c r="T92" s="37" t="e">
        <f t="shared" si="44"/>
        <v>#REF!</v>
      </c>
      <c r="U92" s="37" t="e">
        <f t="shared" si="44"/>
        <v>#REF!</v>
      </c>
      <c r="V92" s="37" t="e">
        <f t="shared" si="44"/>
        <v>#REF!</v>
      </c>
    </row>
    <row r="93" spans="1:22" s="2" customFormat="1" x14ac:dyDescent="0.25">
      <c r="A93" s="513"/>
      <c r="B93" s="33" t="s">
        <v>45</v>
      </c>
      <c r="C93" s="37">
        <f t="shared" si="43"/>
        <v>2.7</v>
      </c>
      <c r="D93" s="37">
        <f t="shared" si="44"/>
        <v>2.4</v>
      </c>
      <c r="E93" s="37">
        <f t="shared" si="44"/>
        <v>2.1</v>
      </c>
      <c r="F93" s="37">
        <f t="shared" si="44"/>
        <v>1.8</v>
      </c>
      <c r="G93" s="37">
        <f t="shared" si="44"/>
        <v>1.5</v>
      </c>
      <c r="H93" s="37">
        <f t="shared" si="44"/>
        <v>1.2</v>
      </c>
      <c r="I93" s="37">
        <f t="shared" si="44"/>
        <v>0.89999999999999991</v>
      </c>
      <c r="J93" s="37">
        <f t="shared" si="44"/>
        <v>0.60000000000000009</v>
      </c>
      <c r="K93" s="37">
        <f t="shared" si="44"/>
        <v>0.30000000000000027</v>
      </c>
      <c r="L93" s="37">
        <f t="shared" si="44"/>
        <v>0</v>
      </c>
      <c r="M93" s="37">
        <f t="shared" si="44"/>
        <v>0</v>
      </c>
      <c r="N93" s="37">
        <f t="shared" si="44"/>
        <v>0</v>
      </c>
      <c r="O93" s="37">
        <f t="shared" si="44"/>
        <v>0</v>
      </c>
      <c r="P93" s="37">
        <f t="shared" si="44"/>
        <v>0</v>
      </c>
      <c r="Q93" s="37">
        <f t="shared" si="44"/>
        <v>0</v>
      </c>
      <c r="R93" s="37">
        <f t="shared" si="44"/>
        <v>0</v>
      </c>
      <c r="S93" s="37">
        <f t="shared" si="44"/>
        <v>0</v>
      </c>
      <c r="T93" s="37">
        <f t="shared" si="44"/>
        <v>0</v>
      </c>
      <c r="U93" s="37">
        <f t="shared" si="44"/>
        <v>0</v>
      </c>
      <c r="V93" s="37">
        <f t="shared" si="44"/>
        <v>0</v>
      </c>
    </row>
    <row r="94" spans="1:22" s="2" customFormat="1" x14ac:dyDescent="0.25">
      <c r="A94" s="513"/>
      <c r="B94" s="50" t="s">
        <v>84</v>
      </c>
      <c r="C94" s="51" t="e">
        <f>SUM(C86:C93)</f>
        <v>#REF!</v>
      </c>
      <c r="D94" s="51" t="e">
        <f t="shared" ref="D94:V94" si="46">SUM(D86:D93)</f>
        <v>#REF!</v>
      </c>
      <c r="E94" s="51" t="e">
        <f t="shared" si="46"/>
        <v>#REF!</v>
      </c>
      <c r="F94" s="51" t="e">
        <f t="shared" si="46"/>
        <v>#REF!</v>
      </c>
      <c r="G94" s="51" t="e">
        <f t="shared" si="46"/>
        <v>#REF!</v>
      </c>
      <c r="H94" s="51" t="e">
        <f t="shared" si="46"/>
        <v>#REF!</v>
      </c>
      <c r="I94" s="51" t="e">
        <f t="shared" si="46"/>
        <v>#REF!</v>
      </c>
      <c r="J94" s="51" t="e">
        <f t="shared" si="46"/>
        <v>#REF!</v>
      </c>
      <c r="K94" s="51" t="e">
        <f t="shared" si="46"/>
        <v>#REF!</v>
      </c>
      <c r="L94" s="51" t="e">
        <f t="shared" si="46"/>
        <v>#REF!</v>
      </c>
      <c r="M94" s="51" t="e">
        <f t="shared" si="46"/>
        <v>#REF!</v>
      </c>
      <c r="N94" s="51" t="e">
        <f t="shared" si="46"/>
        <v>#REF!</v>
      </c>
      <c r="O94" s="51" t="e">
        <f t="shared" si="46"/>
        <v>#REF!</v>
      </c>
      <c r="P94" s="51" t="e">
        <f t="shared" si="46"/>
        <v>#REF!</v>
      </c>
      <c r="Q94" s="51" t="e">
        <f t="shared" si="46"/>
        <v>#REF!</v>
      </c>
      <c r="R94" s="51" t="e">
        <f t="shared" si="46"/>
        <v>#REF!</v>
      </c>
      <c r="S94" s="51" t="e">
        <f t="shared" si="46"/>
        <v>#REF!</v>
      </c>
      <c r="T94" s="51" t="e">
        <f t="shared" si="46"/>
        <v>#REF!</v>
      </c>
      <c r="U94" s="51" t="e">
        <f t="shared" si="46"/>
        <v>#REF!</v>
      </c>
      <c r="V94" s="51" t="e">
        <f t="shared" si="46"/>
        <v>#REF!</v>
      </c>
    </row>
    <row r="96" spans="1:22" ht="14.4" x14ac:dyDescent="0.3">
      <c r="A96" s="100" t="s">
        <v>133</v>
      </c>
    </row>
  </sheetData>
  <mergeCells count="14">
    <mergeCell ref="A74:A82"/>
    <mergeCell ref="A86:A94"/>
    <mergeCell ref="A2:A10"/>
    <mergeCell ref="A14:A22"/>
    <mergeCell ref="A26:A34"/>
    <mergeCell ref="A62:A70"/>
    <mergeCell ref="A38:A46"/>
    <mergeCell ref="A50:A58"/>
    <mergeCell ref="A24:B24"/>
    <mergeCell ref="A36:B36"/>
    <mergeCell ref="A48:B48"/>
    <mergeCell ref="A60:B60"/>
    <mergeCell ref="A72:B72"/>
    <mergeCell ref="A84:B84"/>
  </mergeCells>
  <conditionalFormatting sqref="C2:V9">
    <cfRule type="dataBar" priority="1">
      <dataBar>
        <cfvo type="min"/>
        <cfvo type="max"/>
        <color rgb="FF638EC6"/>
      </dataBar>
      <extLst>
        <ext xmlns:x14="http://schemas.microsoft.com/office/spreadsheetml/2009/9/main" uri="{B025F937-C7B1-47D3-B67F-A62EFF666E3E}">
          <x14:id>{231B5313-97E3-4C93-94AB-6D5B432A2F23}</x14:id>
        </ext>
      </extLst>
    </cfRule>
  </conditionalFormatting>
  <pageMargins left="0.7" right="0.7" top="0.75" bottom="0.75" header="0.3" footer="0.3"/>
  <pageSetup orientation="portrait" r:id="rId1"/>
  <extLst>
    <ext xmlns:x14="http://schemas.microsoft.com/office/spreadsheetml/2009/9/main" uri="{78C0D931-6437-407d-A8EE-F0AAD7539E65}">
      <x14:conditionalFormattings>
        <x14:conditionalFormatting xmlns:xm="http://schemas.microsoft.com/office/excel/2006/main">
          <x14:cfRule type="dataBar" id="{231B5313-97E3-4C93-94AB-6D5B432A2F23}">
            <x14:dataBar minLength="0" maxLength="100" border="1" negativeBarBorderColorSameAsPositive="0">
              <x14:cfvo type="autoMin"/>
              <x14:cfvo type="autoMax"/>
              <x14:borderColor rgb="FF638EC6"/>
              <x14:negativeFillColor rgb="FFFF0000"/>
              <x14:negativeBorderColor rgb="FFFF0000"/>
              <x14:axisColor rgb="FF000000"/>
            </x14:dataBar>
          </x14:cfRule>
          <xm:sqref>C2:V9</xm:sqref>
        </x14:conditionalFormatting>
      </x14:conditionalFormatting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31DA15-4524-41AA-8ED9-217CAF60EA8F}">
  <sheetPr codeName="Sheet21">
    <tabColor rgb="FF92D050"/>
  </sheetPr>
  <dimension ref="A1:V233"/>
  <sheetViews>
    <sheetView zoomScaleNormal="100" workbookViewId="0">
      <selection activeCell="D24" sqref="D24"/>
    </sheetView>
  </sheetViews>
  <sheetFormatPr defaultRowHeight="13.8" x14ac:dyDescent="0.25"/>
  <cols>
    <col min="1" max="1" width="18.6640625" style="2" customWidth="1"/>
    <col min="2" max="2" width="51.88671875" style="2" bestFit="1" customWidth="1"/>
    <col min="3" max="11" width="9.44140625" style="85" customWidth="1"/>
    <col min="12" max="12" width="9.44140625" style="93" customWidth="1"/>
    <col min="13" max="22" width="9.44140625" style="85" customWidth="1"/>
    <col min="23" max="16384" width="8.88671875" style="2"/>
  </cols>
  <sheetData>
    <row r="1" spans="1:22" s="11" customFormat="1" x14ac:dyDescent="0.25">
      <c r="A1" s="30" t="s">
        <v>16</v>
      </c>
      <c r="B1" s="30" t="s">
        <v>128</v>
      </c>
      <c r="C1" s="30">
        <v>2021</v>
      </c>
      <c r="D1" s="31">
        <v>2022</v>
      </c>
      <c r="E1" s="30">
        <v>2023</v>
      </c>
      <c r="F1" s="31">
        <v>2024</v>
      </c>
      <c r="G1" s="30">
        <v>2025</v>
      </c>
      <c r="H1" s="31">
        <v>2026</v>
      </c>
      <c r="I1" s="30">
        <v>2027</v>
      </c>
      <c r="J1" s="31">
        <v>2028</v>
      </c>
      <c r="K1" s="30">
        <v>2029</v>
      </c>
      <c r="L1" s="67">
        <v>2030</v>
      </c>
      <c r="M1" s="68">
        <v>2031</v>
      </c>
      <c r="N1" s="31">
        <v>2032</v>
      </c>
      <c r="O1" s="30">
        <v>2033</v>
      </c>
      <c r="P1" s="31">
        <v>2034</v>
      </c>
      <c r="Q1" s="30">
        <v>2035</v>
      </c>
      <c r="R1" s="31">
        <v>2036</v>
      </c>
      <c r="S1" s="30">
        <v>2037</v>
      </c>
      <c r="T1" s="31">
        <v>2038</v>
      </c>
      <c r="U1" s="30">
        <v>2039</v>
      </c>
      <c r="V1" s="31">
        <v>2040</v>
      </c>
    </row>
    <row r="2" spans="1:22" x14ac:dyDescent="0.25">
      <c r="A2" s="32" t="s">
        <v>47</v>
      </c>
      <c r="B2" s="33" t="s">
        <v>41</v>
      </c>
      <c r="C2" s="41">
        <v>1</v>
      </c>
      <c r="D2" s="41">
        <v>1</v>
      </c>
      <c r="E2" s="41">
        <v>0</v>
      </c>
      <c r="F2" s="41">
        <v>0</v>
      </c>
      <c r="G2" s="41">
        <v>0</v>
      </c>
      <c r="H2" s="41">
        <v>0</v>
      </c>
      <c r="I2" s="41">
        <v>0</v>
      </c>
      <c r="J2" s="41">
        <v>0</v>
      </c>
      <c r="K2" s="41">
        <v>0</v>
      </c>
      <c r="L2" s="69">
        <v>0</v>
      </c>
      <c r="M2" s="70">
        <v>0</v>
      </c>
      <c r="N2" s="41">
        <v>0</v>
      </c>
      <c r="O2" s="41">
        <v>0</v>
      </c>
      <c r="P2" s="41">
        <v>0</v>
      </c>
      <c r="Q2" s="41">
        <v>0</v>
      </c>
      <c r="R2" s="41">
        <v>0</v>
      </c>
      <c r="S2" s="41">
        <v>0</v>
      </c>
      <c r="T2" s="41">
        <v>0</v>
      </c>
      <c r="U2" s="41">
        <v>0</v>
      </c>
      <c r="V2" s="41">
        <v>0</v>
      </c>
    </row>
    <row r="3" spans="1:22" x14ac:dyDescent="0.25">
      <c r="A3" s="32" t="s">
        <v>17</v>
      </c>
      <c r="B3" s="33" t="s">
        <v>41</v>
      </c>
      <c r="C3" s="41">
        <v>1</v>
      </c>
      <c r="D3" s="41">
        <v>1</v>
      </c>
      <c r="E3" s="41">
        <v>1</v>
      </c>
      <c r="F3" s="41">
        <v>1</v>
      </c>
      <c r="G3" s="41">
        <v>0</v>
      </c>
      <c r="H3" s="41">
        <v>0</v>
      </c>
      <c r="I3" s="41">
        <v>0</v>
      </c>
      <c r="J3" s="41">
        <v>0</v>
      </c>
      <c r="K3" s="41">
        <v>0</v>
      </c>
      <c r="L3" s="69">
        <v>0</v>
      </c>
      <c r="M3" s="70">
        <v>0</v>
      </c>
      <c r="N3" s="41">
        <v>0</v>
      </c>
      <c r="O3" s="41">
        <v>0</v>
      </c>
      <c r="P3" s="41">
        <v>0</v>
      </c>
      <c r="Q3" s="41">
        <v>0</v>
      </c>
      <c r="R3" s="41">
        <v>0</v>
      </c>
      <c r="S3" s="41">
        <v>0</v>
      </c>
      <c r="T3" s="41">
        <v>0</v>
      </c>
      <c r="U3" s="41">
        <v>0</v>
      </c>
      <c r="V3" s="41">
        <v>0</v>
      </c>
    </row>
    <row r="4" spans="1:22" x14ac:dyDescent="0.25">
      <c r="A4" s="32" t="s">
        <v>49</v>
      </c>
      <c r="B4" s="33" t="s">
        <v>41</v>
      </c>
      <c r="C4" s="41">
        <v>1</v>
      </c>
      <c r="D4" s="41">
        <v>1</v>
      </c>
      <c r="E4" s="41">
        <v>1</v>
      </c>
      <c r="F4" s="41">
        <v>1</v>
      </c>
      <c r="G4" s="41">
        <v>1</v>
      </c>
      <c r="H4" s="41">
        <v>1</v>
      </c>
      <c r="I4" s="41">
        <v>0</v>
      </c>
      <c r="J4" s="41">
        <v>0</v>
      </c>
      <c r="K4" s="41">
        <v>0</v>
      </c>
      <c r="L4" s="69">
        <v>0</v>
      </c>
      <c r="M4" s="70">
        <v>0</v>
      </c>
      <c r="N4" s="41">
        <v>0</v>
      </c>
      <c r="O4" s="41">
        <v>0</v>
      </c>
      <c r="P4" s="41">
        <v>0</v>
      </c>
      <c r="Q4" s="41">
        <v>0</v>
      </c>
      <c r="R4" s="41">
        <v>0</v>
      </c>
      <c r="S4" s="41">
        <v>0</v>
      </c>
      <c r="T4" s="41">
        <v>0</v>
      </c>
      <c r="U4" s="41">
        <v>0</v>
      </c>
      <c r="V4" s="41">
        <v>0</v>
      </c>
    </row>
    <row r="5" spans="1:22" x14ac:dyDescent="0.25">
      <c r="A5" s="32" t="s">
        <v>50</v>
      </c>
      <c r="B5" s="39" t="s">
        <v>43</v>
      </c>
      <c r="C5" s="56">
        <v>1</v>
      </c>
      <c r="D5" s="56">
        <v>1</v>
      </c>
      <c r="E5" s="56">
        <v>1</v>
      </c>
      <c r="F5" s="56">
        <v>1</v>
      </c>
      <c r="G5" s="56">
        <v>1</v>
      </c>
      <c r="H5" s="56">
        <v>1</v>
      </c>
      <c r="I5" s="56">
        <v>1</v>
      </c>
      <c r="J5" s="56">
        <v>1</v>
      </c>
      <c r="K5" s="56">
        <v>1</v>
      </c>
      <c r="L5" s="71">
        <v>1</v>
      </c>
      <c r="M5" s="72">
        <v>1</v>
      </c>
      <c r="N5" s="56">
        <v>1</v>
      </c>
      <c r="O5" s="56">
        <v>1</v>
      </c>
      <c r="P5" s="56">
        <v>1</v>
      </c>
      <c r="Q5" s="56">
        <v>1</v>
      </c>
      <c r="R5" s="56">
        <v>1</v>
      </c>
      <c r="S5" s="56">
        <v>1</v>
      </c>
      <c r="T5" s="56">
        <v>1</v>
      </c>
      <c r="U5" s="56">
        <v>1</v>
      </c>
      <c r="V5" s="56">
        <v>1</v>
      </c>
    </row>
    <row r="6" spans="1:22" x14ac:dyDescent="0.25">
      <c r="A6" s="32" t="s">
        <v>51</v>
      </c>
      <c r="B6" s="40" t="s">
        <v>42</v>
      </c>
      <c r="C6" s="32">
        <v>1</v>
      </c>
      <c r="D6" s="32">
        <v>1</v>
      </c>
      <c r="E6" s="32">
        <v>1</v>
      </c>
      <c r="F6" s="32">
        <v>1</v>
      </c>
      <c r="G6" s="32">
        <v>0</v>
      </c>
      <c r="H6" s="32">
        <v>0</v>
      </c>
      <c r="I6" s="32">
        <v>0</v>
      </c>
      <c r="J6" s="32">
        <v>0</v>
      </c>
      <c r="K6" s="32">
        <v>0</v>
      </c>
      <c r="L6" s="73">
        <v>0</v>
      </c>
      <c r="M6" s="74">
        <v>0</v>
      </c>
      <c r="N6" s="32">
        <v>0</v>
      </c>
      <c r="O6" s="32">
        <v>0</v>
      </c>
      <c r="P6" s="32">
        <v>0</v>
      </c>
      <c r="Q6" s="32">
        <v>0</v>
      </c>
      <c r="R6" s="32">
        <v>0</v>
      </c>
      <c r="S6" s="32">
        <v>0</v>
      </c>
      <c r="T6" s="32">
        <v>0</v>
      </c>
      <c r="U6" s="32">
        <v>0</v>
      </c>
      <c r="V6" s="32">
        <v>0</v>
      </c>
    </row>
    <row r="7" spans="1:22" x14ac:dyDescent="0.25">
      <c r="A7" s="32" t="s">
        <v>52</v>
      </c>
      <c r="B7" s="33" t="s">
        <v>41</v>
      </c>
      <c r="C7" s="32">
        <v>1</v>
      </c>
      <c r="D7" s="32">
        <v>1</v>
      </c>
      <c r="E7" s="32">
        <v>1</v>
      </c>
      <c r="F7" s="32">
        <v>1</v>
      </c>
      <c r="G7" s="32">
        <v>1</v>
      </c>
      <c r="H7" s="32">
        <v>1</v>
      </c>
      <c r="I7" s="32">
        <v>0</v>
      </c>
      <c r="J7" s="32">
        <v>0</v>
      </c>
      <c r="K7" s="32">
        <v>0</v>
      </c>
      <c r="L7" s="73">
        <v>0</v>
      </c>
      <c r="M7" s="74">
        <v>0</v>
      </c>
      <c r="N7" s="32">
        <v>0</v>
      </c>
      <c r="O7" s="32">
        <v>0</v>
      </c>
      <c r="P7" s="32">
        <v>0</v>
      </c>
      <c r="Q7" s="32">
        <v>0</v>
      </c>
      <c r="R7" s="32">
        <v>0</v>
      </c>
      <c r="S7" s="32">
        <v>0</v>
      </c>
      <c r="T7" s="32">
        <v>0</v>
      </c>
      <c r="U7" s="32">
        <v>0</v>
      </c>
      <c r="V7" s="32">
        <v>0</v>
      </c>
    </row>
    <row r="8" spans="1:22" x14ac:dyDescent="0.25">
      <c r="A8" s="32" t="s">
        <v>18</v>
      </c>
      <c r="B8" s="41" t="s">
        <v>48</v>
      </c>
      <c r="C8" s="41">
        <v>1</v>
      </c>
      <c r="D8" s="41">
        <v>1</v>
      </c>
      <c r="E8" s="41">
        <v>1</v>
      </c>
      <c r="F8" s="41">
        <v>1</v>
      </c>
      <c r="G8" s="41">
        <v>1</v>
      </c>
      <c r="H8" s="41">
        <v>1</v>
      </c>
      <c r="I8" s="41">
        <v>1</v>
      </c>
      <c r="J8" s="41">
        <v>1</v>
      </c>
      <c r="K8" s="41">
        <v>1</v>
      </c>
      <c r="L8" s="69">
        <v>1</v>
      </c>
      <c r="M8" s="70">
        <v>1</v>
      </c>
      <c r="N8" s="41">
        <v>1</v>
      </c>
      <c r="O8" s="41">
        <v>1</v>
      </c>
      <c r="P8" s="41">
        <v>1</v>
      </c>
      <c r="Q8" s="41">
        <v>1</v>
      </c>
      <c r="R8" s="41">
        <v>1</v>
      </c>
      <c r="S8" s="41">
        <v>1</v>
      </c>
      <c r="T8" s="41">
        <v>1</v>
      </c>
      <c r="U8" s="41">
        <v>1</v>
      </c>
      <c r="V8" s="41">
        <v>1</v>
      </c>
    </row>
    <row r="9" spans="1:22" x14ac:dyDescent="0.25">
      <c r="A9" s="32" t="s">
        <v>53</v>
      </c>
      <c r="B9" s="33" t="s">
        <v>41</v>
      </c>
      <c r="C9" s="41"/>
      <c r="D9" s="41"/>
      <c r="E9" s="41"/>
      <c r="F9" s="41"/>
      <c r="G9" s="41"/>
      <c r="H9" s="41"/>
      <c r="I9" s="41"/>
      <c r="J9" s="41"/>
      <c r="K9" s="41"/>
      <c r="L9" s="69"/>
      <c r="M9" s="70"/>
      <c r="N9" s="41"/>
      <c r="O9" s="41"/>
      <c r="P9" s="41"/>
      <c r="Q9" s="41"/>
      <c r="R9" s="41"/>
      <c r="S9" s="41"/>
      <c r="T9" s="41"/>
      <c r="U9" s="41"/>
      <c r="V9" s="41"/>
    </row>
    <row r="10" spans="1:22" x14ac:dyDescent="0.25">
      <c r="A10" s="32" t="s">
        <v>54</v>
      </c>
      <c r="B10" s="40" t="s">
        <v>43</v>
      </c>
      <c r="C10" s="32">
        <v>1</v>
      </c>
      <c r="D10" s="32">
        <v>1</v>
      </c>
      <c r="E10" s="32">
        <v>1</v>
      </c>
      <c r="F10" s="32">
        <v>1</v>
      </c>
      <c r="G10" s="32">
        <v>1</v>
      </c>
      <c r="H10" s="32">
        <v>1</v>
      </c>
      <c r="I10" s="32">
        <v>1</v>
      </c>
      <c r="J10" s="32">
        <v>1</v>
      </c>
      <c r="K10" s="32">
        <v>1</v>
      </c>
      <c r="L10" s="73">
        <v>1</v>
      </c>
      <c r="M10" s="74">
        <v>0</v>
      </c>
      <c r="N10" s="32">
        <v>0</v>
      </c>
      <c r="O10" s="32">
        <v>0</v>
      </c>
      <c r="P10" s="32">
        <v>0</v>
      </c>
      <c r="Q10" s="32">
        <v>0</v>
      </c>
      <c r="R10" s="32">
        <v>0</v>
      </c>
      <c r="S10" s="32">
        <v>0</v>
      </c>
      <c r="T10" s="32">
        <v>0</v>
      </c>
      <c r="U10" s="32">
        <v>0</v>
      </c>
      <c r="V10" s="32">
        <v>0</v>
      </c>
    </row>
    <row r="11" spans="1:22" x14ac:dyDescent="0.25">
      <c r="A11" s="32" t="s">
        <v>55</v>
      </c>
      <c r="B11" s="40" t="s">
        <v>42</v>
      </c>
      <c r="C11" s="32">
        <v>1</v>
      </c>
      <c r="D11" s="32">
        <v>1</v>
      </c>
      <c r="E11" s="32">
        <v>1</v>
      </c>
      <c r="F11" s="32">
        <v>1</v>
      </c>
      <c r="G11" s="32">
        <v>1</v>
      </c>
      <c r="H11" s="32">
        <v>1</v>
      </c>
      <c r="I11" s="32">
        <v>1</v>
      </c>
      <c r="J11" s="32">
        <v>1</v>
      </c>
      <c r="K11" s="32">
        <v>1</v>
      </c>
      <c r="L11" s="73">
        <v>1</v>
      </c>
      <c r="M11" s="74">
        <v>1</v>
      </c>
      <c r="N11" s="32">
        <v>1</v>
      </c>
      <c r="O11" s="32">
        <v>1</v>
      </c>
      <c r="P11" s="32">
        <v>1</v>
      </c>
      <c r="Q11" s="32">
        <v>1</v>
      </c>
      <c r="R11" s="32">
        <v>1</v>
      </c>
      <c r="S11" s="32">
        <v>1</v>
      </c>
      <c r="T11" s="32">
        <v>1</v>
      </c>
      <c r="U11" s="32">
        <v>1</v>
      </c>
      <c r="V11" s="32">
        <v>1</v>
      </c>
    </row>
    <row r="12" spans="1:22" x14ac:dyDescent="0.25">
      <c r="A12" s="32" t="s">
        <v>56</v>
      </c>
      <c r="B12" s="39" t="s">
        <v>43</v>
      </c>
      <c r="C12" s="32">
        <v>1</v>
      </c>
      <c r="D12" s="32">
        <v>1</v>
      </c>
      <c r="E12" s="32">
        <v>1</v>
      </c>
      <c r="F12" s="32">
        <v>1</v>
      </c>
      <c r="G12" s="32">
        <v>1</v>
      </c>
      <c r="H12" s="32">
        <v>1</v>
      </c>
      <c r="I12" s="32">
        <v>1</v>
      </c>
      <c r="J12" s="32">
        <v>1</v>
      </c>
      <c r="K12" s="32">
        <v>1</v>
      </c>
      <c r="L12" s="73">
        <v>1</v>
      </c>
      <c r="M12" s="74">
        <v>1</v>
      </c>
      <c r="N12" s="32">
        <v>1</v>
      </c>
      <c r="O12" s="32">
        <v>1</v>
      </c>
      <c r="P12" s="32">
        <v>1</v>
      </c>
      <c r="Q12" s="32">
        <v>1</v>
      </c>
      <c r="R12" s="32">
        <v>1</v>
      </c>
      <c r="S12" s="32">
        <v>1</v>
      </c>
      <c r="T12" s="32">
        <v>1</v>
      </c>
      <c r="U12" s="32">
        <v>1</v>
      </c>
      <c r="V12" s="32">
        <v>1</v>
      </c>
    </row>
    <row r="13" spans="1:22" x14ac:dyDescent="0.25">
      <c r="A13" s="32" t="s">
        <v>66</v>
      </c>
      <c r="B13" s="41" t="s">
        <v>48</v>
      </c>
      <c r="C13" s="32">
        <v>1</v>
      </c>
      <c r="D13" s="32">
        <v>1</v>
      </c>
      <c r="E13" s="32">
        <v>1</v>
      </c>
      <c r="F13" s="32">
        <v>0</v>
      </c>
      <c r="G13" s="32">
        <v>0</v>
      </c>
      <c r="H13" s="32">
        <v>0</v>
      </c>
      <c r="I13" s="32">
        <v>0</v>
      </c>
      <c r="J13" s="32">
        <v>0</v>
      </c>
      <c r="K13" s="32">
        <v>0</v>
      </c>
      <c r="L13" s="73">
        <v>0</v>
      </c>
      <c r="M13" s="74">
        <v>0</v>
      </c>
      <c r="N13" s="32">
        <v>0</v>
      </c>
      <c r="O13" s="32">
        <v>0</v>
      </c>
      <c r="P13" s="32">
        <v>0</v>
      </c>
      <c r="Q13" s="32">
        <v>0</v>
      </c>
      <c r="R13" s="32">
        <v>0</v>
      </c>
      <c r="S13" s="32">
        <v>0</v>
      </c>
      <c r="T13" s="32">
        <v>0</v>
      </c>
      <c r="U13" s="32">
        <v>0</v>
      </c>
      <c r="V13" s="32">
        <v>0</v>
      </c>
    </row>
    <row r="14" spans="1:22" x14ac:dyDescent="0.25">
      <c r="A14" s="32" t="s">
        <v>19</v>
      </c>
      <c r="B14" s="33" t="s">
        <v>41</v>
      </c>
      <c r="C14" s="32">
        <v>1</v>
      </c>
      <c r="D14" s="32">
        <v>1</v>
      </c>
      <c r="E14" s="32">
        <v>1</v>
      </c>
      <c r="F14" s="32">
        <v>1</v>
      </c>
      <c r="G14" s="32">
        <v>1</v>
      </c>
      <c r="H14" s="32">
        <v>1</v>
      </c>
      <c r="I14" s="32">
        <v>1</v>
      </c>
      <c r="J14" s="32">
        <v>0</v>
      </c>
      <c r="K14" s="32">
        <v>0</v>
      </c>
      <c r="L14" s="73">
        <v>0</v>
      </c>
      <c r="M14" s="74">
        <v>0</v>
      </c>
      <c r="N14" s="32">
        <v>0</v>
      </c>
      <c r="O14" s="32">
        <v>0</v>
      </c>
      <c r="P14" s="32">
        <v>0</v>
      </c>
      <c r="Q14" s="32">
        <v>0</v>
      </c>
      <c r="R14" s="32">
        <v>0</v>
      </c>
      <c r="S14" s="32">
        <v>0</v>
      </c>
      <c r="T14" s="32">
        <v>0</v>
      </c>
      <c r="U14" s="32">
        <v>0</v>
      </c>
      <c r="V14" s="32">
        <v>0</v>
      </c>
    </row>
    <row r="15" spans="1:22" x14ac:dyDescent="0.25">
      <c r="A15" s="44" t="s">
        <v>67</v>
      </c>
      <c r="B15" s="33" t="s">
        <v>40</v>
      </c>
      <c r="C15" s="32">
        <v>1</v>
      </c>
      <c r="D15" s="32">
        <v>1</v>
      </c>
      <c r="E15" s="32">
        <v>1</v>
      </c>
      <c r="F15" s="32">
        <v>1</v>
      </c>
      <c r="G15" s="32">
        <v>1</v>
      </c>
      <c r="H15" s="32">
        <v>1</v>
      </c>
      <c r="I15" s="32">
        <v>1</v>
      </c>
      <c r="J15" s="32">
        <v>1</v>
      </c>
      <c r="K15" s="32">
        <v>1</v>
      </c>
      <c r="L15" s="73">
        <v>1</v>
      </c>
      <c r="M15" s="74">
        <v>1</v>
      </c>
      <c r="N15" s="32">
        <v>1</v>
      </c>
      <c r="O15" s="32">
        <v>1</v>
      </c>
      <c r="P15" s="32">
        <v>1</v>
      </c>
      <c r="Q15" s="32">
        <v>1</v>
      </c>
      <c r="R15" s="32">
        <v>1</v>
      </c>
      <c r="S15" s="32">
        <v>1</v>
      </c>
      <c r="T15" s="32">
        <v>1</v>
      </c>
      <c r="U15" s="32">
        <v>1</v>
      </c>
      <c r="V15" s="32">
        <v>1</v>
      </c>
    </row>
    <row r="16" spans="1:22" x14ac:dyDescent="0.25">
      <c r="A16" s="44" t="s">
        <v>68</v>
      </c>
      <c r="B16" s="33" t="s">
        <v>40</v>
      </c>
      <c r="C16" s="32">
        <v>1</v>
      </c>
      <c r="D16" s="32">
        <v>1</v>
      </c>
      <c r="E16" s="32">
        <v>1</v>
      </c>
      <c r="F16" s="32">
        <v>1</v>
      </c>
      <c r="G16" s="32">
        <v>1</v>
      </c>
      <c r="H16" s="32">
        <v>1</v>
      </c>
      <c r="I16" s="32">
        <v>1</v>
      </c>
      <c r="J16" s="32">
        <v>1</v>
      </c>
      <c r="K16" s="32">
        <v>1</v>
      </c>
      <c r="L16" s="73">
        <v>1</v>
      </c>
      <c r="M16" s="74">
        <v>1</v>
      </c>
      <c r="N16" s="32">
        <v>1</v>
      </c>
      <c r="O16" s="32">
        <v>1</v>
      </c>
      <c r="P16" s="32">
        <v>1</v>
      </c>
      <c r="Q16" s="32">
        <v>1</v>
      </c>
      <c r="R16" s="32">
        <v>1</v>
      </c>
      <c r="S16" s="32">
        <v>1</v>
      </c>
      <c r="T16" s="32">
        <v>1</v>
      </c>
      <c r="U16" s="32">
        <v>1</v>
      </c>
      <c r="V16" s="32">
        <v>1</v>
      </c>
    </row>
    <row r="17" spans="1:22" x14ac:dyDescent="0.25">
      <c r="A17" s="44" t="s">
        <v>69</v>
      </c>
      <c r="B17" s="33" t="s">
        <v>40</v>
      </c>
      <c r="C17" s="32">
        <v>1</v>
      </c>
      <c r="D17" s="32">
        <v>1</v>
      </c>
      <c r="E17" s="32">
        <v>1</v>
      </c>
      <c r="F17" s="32">
        <v>1</v>
      </c>
      <c r="G17" s="32">
        <v>1</v>
      </c>
      <c r="H17" s="32">
        <v>1</v>
      </c>
      <c r="I17" s="32">
        <v>1</v>
      </c>
      <c r="J17" s="32">
        <v>1</v>
      </c>
      <c r="K17" s="32">
        <v>1</v>
      </c>
      <c r="L17" s="73">
        <v>1</v>
      </c>
      <c r="M17" s="74">
        <v>1</v>
      </c>
      <c r="N17" s="32">
        <v>1</v>
      </c>
      <c r="O17" s="32">
        <v>1</v>
      </c>
      <c r="P17" s="32">
        <v>1</v>
      </c>
      <c r="Q17" s="32">
        <v>1</v>
      </c>
      <c r="R17" s="32">
        <v>1</v>
      </c>
      <c r="S17" s="32">
        <v>1</v>
      </c>
      <c r="T17" s="32">
        <v>1</v>
      </c>
      <c r="U17" s="32">
        <v>1</v>
      </c>
      <c r="V17" s="32">
        <v>1</v>
      </c>
    </row>
    <row r="18" spans="1:22" x14ac:dyDescent="0.25">
      <c r="A18" s="44" t="s">
        <v>70</v>
      </c>
      <c r="B18" s="33" t="s">
        <v>40</v>
      </c>
      <c r="C18" s="32">
        <v>1</v>
      </c>
      <c r="D18" s="32">
        <v>1</v>
      </c>
      <c r="E18" s="32">
        <v>1</v>
      </c>
      <c r="F18" s="32">
        <v>1</v>
      </c>
      <c r="G18" s="32">
        <v>1</v>
      </c>
      <c r="H18" s="32">
        <v>1</v>
      </c>
      <c r="I18" s="32">
        <v>1</v>
      </c>
      <c r="J18" s="32">
        <v>1</v>
      </c>
      <c r="K18" s="32">
        <v>1</v>
      </c>
      <c r="L18" s="73">
        <v>1</v>
      </c>
      <c r="M18" s="74">
        <v>1</v>
      </c>
      <c r="N18" s="32">
        <v>1</v>
      </c>
      <c r="O18" s="32">
        <v>1</v>
      </c>
      <c r="P18" s="32">
        <v>1</v>
      </c>
      <c r="Q18" s="32">
        <v>1</v>
      </c>
      <c r="R18" s="32">
        <v>1</v>
      </c>
      <c r="S18" s="32">
        <v>1</v>
      </c>
      <c r="T18" s="32">
        <v>1</v>
      </c>
      <c r="U18" s="32">
        <v>1</v>
      </c>
      <c r="V18" s="32">
        <v>1</v>
      </c>
    </row>
    <row r="19" spans="1:22" x14ac:dyDescent="0.25">
      <c r="A19" s="32" t="s">
        <v>20</v>
      </c>
      <c r="B19" s="33" t="s">
        <v>41</v>
      </c>
      <c r="C19" s="32">
        <v>1</v>
      </c>
      <c r="D19" s="32">
        <v>1</v>
      </c>
      <c r="E19" s="32">
        <v>1</v>
      </c>
      <c r="F19" s="32">
        <v>1</v>
      </c>
      <c r="G19" s="32">
        <v>1</v>
      </c>
      <c r="H19" s="32">
        <v>1</v>
      </c>
      <c r="I19" s="32">
        <v>1</v>
      </c>
      <c r="J19" s="32">
        <v>1</v>
      </c>
      <c r="K19" s="32">
        <v>1</v>
      </c>
      <c r="L19" s="73">
        <v>1</v>
      </c>
      <c r="M19" s="74">
        <v>1</v>
      </c>
      <c r="N19" s="32">
        <v>1</v>
      </c>
      <c r="O19" s="32">
        <v>1</v>
      </c>
      <c r="P19" s="32">
        <v>1</v>
      </c>
      <c r="Q19" s="32">
        <v>1</v>
      </c>
      <c r="R19" s="32">
        <v>1</v>
      </c>
      <c r="S19" s="32">
        <v>1</v>
      </c>
      <c r="T19" s="32">
        <v>1</v>
      </c>
      <c r="U19" s="32">
        <v>1</v>
      </c>
      <c r="V19" s="32">
        <v>1</v>
      </c>
    </row>
    <row r="20" spans="1:22" x14ac:dyDescent="0.25">
      <c r="A20" s="32" t="s">
        <v>21</v>
      </c>
      <c r="B20" s="33" t="s">
        <v>41</v>
      </c>
      <c r="C20" s="32">
        <v>1</v>
      </c>
      <c r="D20" s="32">
        <v>1</v>
      </c>
      <c r="E20" s="32">
        <v>1</v>
      </c>
      <c r="F20" s="32">
        <v>1</v>
      </c>
      <c r="G20" s="32">
        <v>1</v>
      </c>
      <c r="H20" s="32">
        <v>0</v>
      </c>
      <c r="I20" s="32">
        <v>0</v>
      </c>
      <c r="J20" s="32">
        <v>0</v>
      </c>
      <c r="K20" s="32">
        <v>0</v>
      </c>
      <c r="L20" s="73">
        <v>0</v>
      </c>
      <c r="M20" s="74">
        <v>0</v>
      </c>
      <c r="N20" s="32">
        <v>0</v>
      </c>
      <c r="O20" s="32">
        <v>0</v>
      </c>
      <c r="P20" s="32">
        <v>0</v>
      </c>
      <c r="Q20" s="32">
        <v>0</v>
      </c>
      <c r="R20" s="32">
        <v>0</v>
      </c>
      <c r="S20" s="32">
        <v>0</v>
      </c>
      <c r="T20" s="32">
        <v>0</v>
      </c>
      <c r="U20" s="32">
        <v>0</v>
      </c>
      <c r="V20" s="32">
        <v>0</v>
      </c>
    </row>
    <row r="21" spans="1:22" x14ac:dyDescent="0.25">
      <c r="A21" s="32" t="s">
        <v>24</v>
      </c>
      <c r="B21" s="45" t="s">
        <v>42</v>
      </c>
      <c r="C21" s="32">
        <v>0</v>
      </c>
      <c r="D21" s="32">
        <v>0</v>
      </c>
      <c r="E21" s="32">
        <v>0</v>
      </c>
      <c r="F21" s="32">
        <v>0</v>
      </c>
      <c r="G21" s="32">
        <v>0</v>
      </c>
      <c r="H21" s="32">
        <v>0</v>
      </c>
      <c r="I21" s="32">
        <v>0</v>
      </c>
      <c r="J21" s="32">
        <v>0</v>
      </c>
      <c r="K21" s="32">
        <v>0</v>
      </c>
      <c r="L21" s="73">
        <v>0</v>
      </c>
      <c r="M21" s="74">
        <v>0</v>
      </c>
      <c r="N21" s="32">
        <v>0</v>
      </c>
      <c r="O21" s="32">
        <v>0</v>
      </c>
      <c r="P21" s="32">
        <v>0</v>
      </c>
      <c r="Q21" s="32">
        <v>0</v>
      </c>
      <c r="R21" s="32">
        <v>0</v>
      </c>
      <c r="S21" s="32">
        <v>0</v>
      </c>
      <c r="T21" s="32">
        <v>0</v>
      </c>
      <c r="U21" s="32">
        <v>0</v>
      </c>
      <c r="V21" s="32">
        <v>0</v>
      </c>
    </row>
    <row r="22" spans="1:22" x14ac:dyDescent="0.25">
      <c r="A22" s="32" t="s">
        <v>57</v>
      </c>
      <c r="B22" s="33" t="s">
        <v>41</v>
      </c>
      <c r="C22" s="32">
        <v>1</v>
      </c>
      <c r="D22" s="32">
        <v>1</v>
      </c>
      <c r="E22" s="32">
        <v>1</v>
      </c>
      <c r="F22" s="32">
        <v>1</v>
      </c>
      <c r="G22" s="32">
        <v>1</v>
      </c>
      <c r="H22" s="32">
        <v>0</v>
      </c>
      <c r="I22" s="32">
        <v>0</v>
      </c>
      <c r="J22" s="32">
        <v>0</v>
      </c>
      <c r="K22" s="32">
        <v>0</v>
      </c>
      <c r="L22" s="73">
        <v>0</v>
      </c>
      <c r="M22" s="74">
        <v>0</v>
      </c>
      <c r="N22" s="32">
        <v>0</v>
      </c>
      <c r="O22" s="32">
        <v>0</v>
      </c>
      <c r="P22" s="32">
        <v>0</v>
      </c>
      <c r="Q22" s="32">
        <v>0</v>
      </c>
      <c r="R22" s="32">
        <v>0</v>
      </c>
      <c r="S22" s="32">
        <v>0</v>
      </c>
      <c r="T22" s="32">
        <v>0</v>
      </c>
      <c r="U22" s="32">
        <v>0</v>
      </c>
      <c r="V22" s="32">
        <v>0</v>
      </c>
    </row>
    <row r="23" spans="1:22" x14ac:dyDescent="0.25">
      <c r="A23" s="32" t="s">
        <v>22</v>
      </c>
      <c r="B23" s="33" t="s">
        <v>41</v>
      </c>
      <c r="C23" s="32">
        <v>1</v>
      </c>
      <c r="D23" s="32">
        <v>1</v>
      </c>
      <c r="E23" s="32">
        <v>1</v>
      </c>
      <c r="F23" s="32">
        <v>1</v>
      </c>
      <c r="G23" s="32">
        <v>0</v>
      </c>
      <c r="H23" s="32">
        <v>0</v>
      </c>
      <c r="I23" s="32">
        <v>0</v>
      </c>
      <c r="J23" s="32">
        <v>0</v>
      </c>
      <c r="K23" s="32">
        <v>0</v>
      </c>
      <c r="L23" s="73">
        <v>0</v>
      </c>
      <c r="M23" s="74">
        <v>0</v>
      </c>
      <c r="N23" s="32">
        <v>0</v>
      </c>
      <c r="O23" s="32">
        <v>0</v>
      </c>
      <c r="P23" s="32">
        <v>0</v>
      </c>
      <c r="Q23" s="32">
        <v>0</v>
      </c>
      <c r="R23" s="32">
        <v>0</v>
      </c>
      <c r="S23" s="32">
        <v>0</v>
      </c>
      <c r="T23" s="32">
        <v>0</v>
      </c>
      <c r="U23" s="32">
        <v>0</v>
      </c>
      <c r="V23" s="32">
        <v>0</v>
      </c>
    </row>
    <row r="24" spans="1:22" x14ac:dyDescent="0.25">
      <c r="A24" s="32" t="s">
        <v>23</v>
      </c>
      <c r="B24" s="40" t="s">
        <v>43</v>
      </c>
      <c r="C24" s="32">
        <v>1</v>
      </c>
      <c r="D24" s="32">
        <v>1</v>
      </c>
      <c r="E24" s="32">
        <v>1</v>
      </c>
      <c r="F24" s="32">
        <v>1</v>
      </c>
      <c r="G24" s="32">
        <v>1</v>
      </c>
      <c r="H24" s="32">
        <v>1</v>
      </c>
      <c r="I24" s="32">
        <v>1</v>
      </c>
      <c r="J24" s="32">
        <v>1</v>
      </c>
      <c r="K24" s="32">
        <v>1</v>
      </c>
      <c r="L24" s="73">
        <v>1</v>
      </c>
      <c r="M24" s="74">
        <v>0</v>
      </c>
      <c r="N24" s="32">
        <v>0</v>
      </c>
      <c r="O24" s="32">
        <v>0</v>
      </c>
      <c r="P24" s="32">
        <v>0</v>
      </c>
      <c r="Q24" s="32">
        <v>0</v>
      </c>
      <c r="R24" s="32">
        <v>0</v>
      </c>
      <c r="S24" s="32">
        <v>0</v>
      </c>
      <c r="T24" s="32">
        <v>0</v>
      </c>
      <c r="U24" s="32">
        <v>0</v>
      </c>
      <c r="V24" s="32">
        <v>0</v>
      </c>
    </row>
    <row r="25" spans="1:22" x14ac:dyDescent="0.25">
      <c r="A25" s="32" t="s">
        <v>25</v>
      </c>
      <c r="B25" s="33" t="s">
        <v>44</v>
      </c>
      <c r="C25" s="32">
        <v>1</v>
      </c>
      <c r="D25" s="32">
        <v>1</v>
      </c>
      <c r="E25" s="32">
        <v>1</v>
      </c>
      <c r="F25" s="32">
        <v>1</v>
      </c>
      <c r="G25" s="32">
        <v>0</v>
      </c>
      <c r="H25" s="32">
        <v>0</v>
      </c>
      <c r="I25" s="32">
        <v>0</v>
      </c>
      <c r="J25" s="32">
        <v>0</v>
      </c>
      <c r="K25" s="32">
        <v>0</v>
      </c>
      <c r="L25" s="73">
        <v>0</v>
      </c>
      <c r="M25" s="74">
        <v>0</v>
      </c>
      <c r="N25" s="32">
        <v>0</v>
      </c>
      <c r="O25" s="32">
        <v>0</v>
      </c>
      <c r="P25" s="32">
        <v>0</v>
      </c>
      <c r="Q25" s="32">
        <v>0</v>
      </c>
      <c r="R25" s="32">
        <v>0</v>
      </c>
      <c r="S25" s="32">
        <v>0</v>
      </c>
      <c r="T25" s="32">
        <v>0</v>
      </c>
      <c r="U25" s="32">
        <v>0</v>
      </c>
      <c r="V25" s="32">
        <v>0</v>
      </c>
    </row>
    <row r="26" spans="1:22" x14ac:dyDescent="0.25">
      <c r="A26" s="32" t="s">
        <v>58</v>
      </c>
      <c r="B26" s="33" t="s">
        <v>41</v>
      </c>
      <c r="C26" s="32">
        <v>1</v>
      </c>
      <c r="D26" s="32">
        <v>0</v>
      </c>
      <c r="E26" s="32">
        <v>0</v>
      </c>
      <c r="F26" s="32">
        <v>0</v>
      </c>
      <c r="G26" s="32">
        <v>0</v>
      </c>
      <c r="H26" s="32">
        <v>0</v>
      </c>
      <c r="I26" s="32">
        <v>0</v>
      </c>
      <c r="J26" s="32">
        <v>0</v>
      </c>
      <c r="K26" s="32">
        <v>0</v>
      </c>
      <c r="L26" s="73">
        <v>0</v>
      </c>
      <c r="M26" s="74">
        <v>0</v>
      </c>
      <c r="N26" s="32">
        <v>0</v>
      </c>
      <c r="O26" s="32">
        <v>0</v>
      </c>
      <c r="P26" s="32">
        <v>0</v>
      </c>
      <c r="Q26" s="32">
        <v>0</v>
      </c>
      <c r="R26" s="32">
        <v>0</v>
      </c>
      <c r="S26" s="32">
        <v>0</v>
      </c>
      <c r="T26" s="32">
        <v>0</v>
      </c>
      <c r="U26" s="32">
        <v>0</v>
      </c>
      <c r="V26" s="32">
        <v>0</v>
      </c>
    </row>
    <row r="27" spans="1:22" x14ac:dyDescent="0.25">
      <c r="A27" s="32" t="s">
        <v>59</v>
      </c>
      <c r="B27" s="33" t="s">
        <v>41</v>
      </c>
      <c r="C27" s="32">
        <v>1</v>
      </c>
      <c r="D27" s="32">
        <v>1</v>
      </c>
      <c r="E27" s="32">
        <v>1</v>
      </c>
      <c r="F27" s="32">
        <v>0</v>
      </c>
      <c r="G27" s="32">
        <v>0</v>
      </c>
      <c r="H27" s="32">
        <v>0</v>
      </c>
      <c r="I27" s="32">
        <v>0</v>
      </c>
      <c r="J27" s="32">
        <v>0</v>
      </c>
      <c r="K27" s="32">
        <v>0</v>
      </c>
      <c r="L27" s="73">
        <v>0</v>
      </c>
      <c r="M27" s="74">
        <v>0</v>
      </c>
      <c r="N27" s="32">
        <v>0</v>
      </c>
      <c r="O27" s="32">
        <v>0</v>
      </c>
      <c r="P27" s="32">
        <v>0</v>
      </c>
      <c r="Q27" s="32">
        <v>0</v>
      </c>
      <c r="R27" s="32">
        <v>0</v>
      </c>
      <c r="S27" s="32">
        <v>0</v>
      </c>
      <c r="T27" s="32">
        <v>0</v>
      </c>
      <c r="U27" s="32">
        <v>0</v>
      </c>
      <c r="V27" s="32">
        <v>0</v>
      </c>
    </row>
    <row r="28" spans="1:22" x14ac:dyDescent="0.25">
      <c r="A28" s="32" t="s">
        <v>60</v>
      </c>
      <c r="B28" s="33" t="s">
        <v>41</v>
      </c>
      <c r="C28" s="32">
        <v>1</v>
      </c>
      <c r="D28" s="32">
        <v>1</v>
      </c>
      <c r="E28" s="32">
        <v>1</v>
      </c>
      <c r="F28" s="32">
        <v>1</v>
      </c>
      <c r="G28" s="32">
        <v>1</v>
      </c>
      <c r="H28" s="32">
        <v>1</v>
      </c>
      <c r="I28" s="32">
        <v>0</v>
      </c>
      <c r="J28" s="32">
        <v>0</v>
      </c>
      <c r="K28" s="32">
        <v>0</v>
      </c>
      <c r="L28" s="73">
        <v>0</v>
      </c>
      <c r="M28" s="74">
        <v>0</v>
      </c>
      <c r="N28" s="32">
        <v>0</v>
      </c>
      <c r="O28" s="32">
        <v>0</v>
      </c>
      <c r="P28" s="32">
        <v>0</v>
      </c>
      <c r="Q28" s="32">
        <v>0</v>
      </c>
      <c r="R28" s="32">
        <v>0</v>
      </c>
      <c r="S28" s="32">
        <v>0</v>
      </c>
      <c r="T28" s="32">
        <v>0</v>
      </c>
      <c r="U28" s="32">
        <v>0</v>
      </c>
      <c r="V28" s="32">
        <v>0</v>
      </c>
    </row>
    <row r="29" spans="1:22" x14ac:dyDescent="0.25">
      <c r="A29" s="32" t="s">
        <v>26</v>
      </c>
      <c r="B29" s="40" t="s">
        <v>45</v>
      </c>
      <c r="C29" s="32">
        <v>1</v>
      </c>
      <c r="D29" s="32">
        <v>1</v>
      </c>
      <c r="E29" s="32">
        <v>1</v>
      </c>
      <c r="F29" s="32">
        <v>1</v>
      </c>
      <c r="G29" s="32">
        <v>1</v>
      </c>
      <c r="H29" s="32">
        <v>1</v>
      </c>
      <c r="I29" s="32">
        <v>1</v>
      </c>
      <c r="J29" s="32">
        <v>1</v>
      </c>
      <c r="K29" s="32">
        <v>1</v>
      </c>
      <c r="L29" s="73">
        <v>1</v>
      </c>
      <c r="M29" s="74">
        <v>1</v>
      </c>
      <c r="N29" s="32">
        <v>1</v>
      </c>
      <c r="O29" s="32">
        <v>1</v>
      </c>
      <c r="P29" s="32">
        <v>1</v>
      </c>
      <c r="Q29" s="32">
        <v>1</v>
      </c>
      <c r="R29" s="32">
        <v>1</v>
      </c>
      <c r="S29" s="32">
        <v>1</v>
      </c>
      <c r="T29" s="32">
        <v>1</v>
      </c>
      <c r="U29" s="32">
        <v>1</v>
      </c>
      <c r="V29" s="32">
        <v>1</v>
      </c>
    </row>
    <row r="30" spans="1:22" x14ac:dyDescent="0.25">
      <c r="A30" s="32" t="s">
        <v>61</v>
      </c>
      <c r="B30" s="40" t="s">
        <v>42</v>
      </c>
      <c r="C30" s="32">
        <v>1</v>
      </c>
      <c r="D30" s="32">
        <v>1</v>
      </c>
      <c r="E30" s="32">
        <v>1</v>
      </c>
      <c r="F30" s="32">
        <v>1</v>
      </c>
      <c r="G30" s="32">
        <v>1</v>
      </c>
      <c r="H30" s="32">
        <v>1</v>
      </c>
      <c r="I30" s="32">
        <v>1</v>
      </c>
      <c r="J30" s="32">
        <v>1</v>
      </c>
      <c r="K30" s="32">
        <v>1</v>
      </c>
      <c r="L30" s="73">
        <v>1</v>
      </c>
      <c r="M30" s="74">
        <v>1</v>
      </c>
      <c r="N30" s="32">
        <v>1</v>
      </c>
      <c r="O30" s="32">
        <v>1</v>
      </c>
      <c r="P30" s="32">
        <v>1</v>
      </c>
      <c r="Q30" s="32">
        <v>1</v>
      </c>
      <c r="R30" s="32">
        <v>1</v>
      </c>
      <c r="S30" s="32">
        <v>1</v>
      </c>
      <c r="T30" s="32">
        <v>1</v>
      </c>
      <c r="U30" s="32">
        <v>1</v>
      </c>
      <c r="V30" s="32">
        <v>1</v>
      </c>
    </row>
    <row r="31" spans="1:22" x14ac:dyDescent="0.25">
      <c r="A31" s="32" t="s">
        <v>71</v>
      </c>
      <c r="B31" s="33" t="s">
        <v>40</v>
      </c>
      <c r="C31" s="32">
        <v>1</v>
      </c>
      <c r="D31" s="32">
        <v>1</v>
      </c>
      <c r="E31" s="32">
        <v>0</v>
      </c>
      <c r="F31" s="32">
        <v>0</v>
      </c>
      <c r="G31" s="32">
        <v>0</v>
      </c>
      <c r="H31" s="32">
        <v>0</v>
      </c>
      <c r="I31" s="32">
        <v>0</v>
      </c>
      <c r="J31" s="32">
        <v>0</v>
      </c>
      <c r="K31" s="32">
        <v>0</v>
      </c>
      <c r="L31" s="73">
        <v>0</v>
      </c>
      <c r="M31" s="74">
        <v>0</v>
      </c>
      <c r="N31" s="32">
        <v>0</v>
      </c>
      <c r="O31" s="32">
        <v>0</v>
      </c>
      <c r="P31" s="32">
        <v>0</v>
      </c>
      <c r="Q31" s="32">
        <v>0</v>
      </c>
      <c r="R31" s="32">
        <v>0</v>
      </c>
      <c r="S31" s="32">
        <v>0</v>
      </c>
      <c r="T31" s="32">
        <v>0</v>
      </c>
      <c r="U31" s="32">
        <v>0</v>
      </c>
      <c r="V31" s="32">
        <v>0</v>
      </c>
    </row>
    <row r="32" spans="1:22" x14ac:dyDescent="0.25">
      <c r="A32" s="32" t="s">
        <v>27</v>
      </c>
      <c r="B32" s="40" t="s">
        <v>45</v>
      </c>
      <c r="C32" s="32">
        <v>1</v>
      </c>
      <c r="D32" s="32">
        <v>0</v>
      </c>
      <c r="E32" s="32">
        <v>0</v>
      </c>
      <c r="F32" s="32">
        <v>0</v>
      </c>
      <c r="G32" s="32">
        <v>0</v>
      </c>
      <c r="H32" s="32">
        <v>0</v>
      </c>
      <c r="I32" s="32">
        <v>0</v>
      </c>
      <c r="J32" s="32">
        <v>0</v>
      </c>
      <c r="K32" s="32">
        <v>0</v>
      </c>
      <c r="L32" s="73">
        <v>0</v>
      </c>
      <c r="M32" s="74">
        <v>0</v>
      </c>
      <c r="N32" s="32">
        <v>0</v>
      </c>
      <c r="O32" s="32">
        <v>0</v>
      </c>
      <c r="P32" s="32">
        <v>0</v>
      </c>
      <c r="Q32" s="32">
        <v>0</v>
      </c>
      <c r="R32" s="32">
        <v>0</v>
      </c>
      <c r="S32" s="32">
        <v>0</v>
      </c>
      <c r="T32" s="32">
        <v>0</v>
      </c>
      <c r="U32" s="32">
        <v>0</v>
      </c>
      <c r="V32" s="32">
        <v>0</v>
      </c>
    </row>
    <row r="33" spans="1:22" x14ac:dyDescent="0.25">
      <c r="A33" s="32" t="s">
        <v>39</v>
      </c>
      <c r="B33" s="33" t="s">
        <v>41</v>
      </c>
      <c r="C33" s="32">
        <v>1</v>
      </c>
      <c r="D33" s="32">
        <v>1</v>
      </c>
      <c r="E33" s="32">
        <v>1</v>
      </c>
      <c r="F33" s="32">
        <v>1</v>
      </c>
      <c r="G33" s="32">
        <v>0</v>
      </c>
      <c r="H33" s="32">
        <v>0</v>
      </c>
      <c r="I33" s="32">
        <v>0</v>
      </c>
      <c r="J33" s="32">
        <v>0</v>
      </c>
      <c r="K33" s="32">
        <v>0</v>
      </c>
      <c r="L33" s="73">
        <v>0</v>
      </c>
      <c r="M33" s="74">
        <v>0</v>
      </c>
      <c r="N33" s="32">
        <v>0</v>
      </c>
      <c r="O33" s="32">
        <v>0</v>
      </c>
      <c r="P33" s="32">
        <v>0</v>
      </c>
      <c r="Q33" s="32">
        <v>0</v>
      </c>
      <c r="R33" s="32">
        <v>0</v>
      </c>
      <c r="S33" s="32">
        <v>0</v>
      </c>
      <c r="T33" s="32">
        <v>0</v>
      </c>
      <c r="U33" s="32">
        <v>0</v>
      </c>
      <c r="V33" s="32">
        <v>0</v>
      </c>
    </row>
    <row r="34" spans="1:22" x14ac:dyDescent="0.25">
      <c r="A34" s="32" t="s">
        <v>28</v>
      </c>
      <c r="B34" s="32"/>
      <c r="C34" s="32">
        <v>1</v>
      </c>
      <c r="D34" s="32">
        <v>0</v>
      </c>
      <c r="E34" s="32">
        <v>0</v>
      </c>
      <c r="F34" s="32">
        <v>0</v>
      </c>
      <c r="G34" s="32">
        <v>0</v>
      </c>
      <c r="H34" s="32">
        <v>0</v>
      </c>
      <c r="I34" s="32">
        <v>0</v>
      </c>
      <c r="J34" s="32">
        <v>0</v>
      </c>
      <c r="K34" s="32">
        <v>0</v>
      </c>
      <c r="L34" s="73">
        <v>0</v>
      </c>
      <c r="M34" s="74">
        <v>0</v>
      </c>
      <c r="N34" s="32">
        <v>0</v>
      </c>
      <c r="O34" s="32">
        <v>0</v>
      </c>
      <c r="P34" s="32">
        <v>0</v>
      </c>
      <c r="Q34" s="32">
        <v>0</v>
      </c>
      <c r="R34" s="32">
        <v>0</v>
      </c>
      <c r="S34" s="32">
        <v>0</v>
      </c>
      <c r="T34" s="32">
        <v>0</v>
      </c>
      <c r="U34" s="32">
        <v>0</v>
      </c>
      <c r="V34" s="32">
        <v>0</v>
      </c>
    </row>
    <row r="35" spans="1:22" x14ac:dyDescent="0.25">
      <c r="A35" s="32" t="s">
        <v>62</v>
      </c>
      <c r="B35" s="33" t="s">
        <v>41</v>
      </c>
      <c r="C35" s="32">
        <v>1</v>
      </c>
      <c r="D35" s="32">
        <v>1</v>
      </c>
      <c r="E35" s="32">
        <v>1</v>
      </c>
      <c r="F35" s="32">
        <v>1</v>
      </c>
      <c r="G35" s="32">
        <v>1</v>
      </c>
      <c r="H35" s="32">
        <v>0</v>
      </c>
      <c r="I35" s="32">
        <v>0</v>
      </c>
      <c r="J35" s="32">
        <v>0</v>
      </c>
      <c r="K35" s="32">
        <v>0</v>
      </c>
      <c r="L35" s="73">
        <v>0</v>
      </c>
      <c r="M35" s="74">
        <v>0</v>
      </c>
      <c r="N35" s="32">
        <v>0</v>
      </c>
      <c r="O35" s="32">
        <v>0</v>
      </c>
      <c r="P35" s="32">
        <v>0</v>
      </c>
      <c r="Q35" s="32">
        <v>0</v>
      </c>
      <c r="R35" s="32">
        <v>0</v>
      </c>
      <c r="S35" s="32">
        <v>0</v>
      </c>
      <c r="T35" s="32">
        <v>0</v>
      </c>
      <c r="U35" s="32">
        <v>0</v>
      </c>
      <c r="V35" s="32">
        <v>0</v>
      </c>
    </row>
    <row r="36" spans="1:22" x14ac:dyDescent="0.25">
      <c r="A36" s="32" t="s">
        <v>29</v>
      </c>
      <c r="B36" s="33" t="s">
        <v>41</v>
      </c>
      <c r="C36" s="32">
        <v>1</v>
      </c>
      <c r="D36" s="32">
        <v>1</v>
      </c>
      <c r="E36" s="32">
        <v>1</v>
      </c>
      <c r="F36" s="32">
        <v>0</v>
      </c>
      <c r="G36" s="32">
        <v>0</v>
      </c>
      <c r="H36" s="32">
        <v>0</v>
      </c>
      <c r="I36" s="32">
        <v>0</v>
      </c>
      <c r="J36" s="32">
        <v>0</v>
      </c>
      <c r="K36" s="32">
        <v>0</v>
      </c>
      <c r="L36" s="73">
        <v>0</v>
      </c>
      <c r="M36" s="74">
        <v>0</v>
      </c>
      <c r="N36" s="32">
        <v>0</v>
      </c>
      <c r="O36" s="32">
        <v>0</v>
      </c>
      <c r="P36" s="32">
        <v>0</v>
      </c>
      <c r="Q36" s="32">
        <v>0</v>
      </c>
      <c r="R36" s="32">
        <v>0</v>
      </c>
      <c r="S36" s="32">
        <v>0</v>
      </c>
      <c r="T36" s="32">
        <v>0</v>
      </c>
      <c r="U36" s="32">
        <v>0</v>
      </c>
      <c r="V36" s="32">
        <v>0</v>
      </c>
    </row>
    <row r="37" spans="1:22" x14ac:dyDescent="0.25">
      <c r="A37" s="32" t="s">
        <v>30</v>
      </c>
      <c r="B37" s="40" t="s">
        <v>43</v>
      </c>
      <c r="C37" s="32">
        <v>1</v>
      </c>
      <c r="D37" s="32">
        <v>1</v>
      </c>
      <c r="E37" s="32">
        <v>1</v>
      </c>
      <c r="F37" s="32">
        <v>1</v>
      </c>
      <c r="G37" s="32">
        <v>1</v>
      </c>
      <c r="H37" s="32">
        <v>1</v>
      </c>
      <c r="I37" s="32">
        <v>1</v>
      </c>
      <c r="J37" s="32">
        <v>1</v>
      </c>
      <c r="K37" s="32">
        <v>1</v>
      </c>
      <c r="L37" s="73">
        <v>1</v>
      </c>
      <c r="M37" s="74">
        <v>1</v>
      </c>
      <c r="N37" s="32">
        <v>1</v>
      </c>
      <c r="O37" s="32">
        <v>1</v>
      </c>
      <c r="P37" s="32">
        <v>1</v>
      </c>
      <c r="Q37" s="32">
        <v>1</v>
      </c>
      <c r="R37" s="32">
        <v>1</v>
      </c>
      <c r="S37" s="32">
        <v>1</v>
      </c>
      <c r="T37" s="32">
        <v>1</v>
      </c>
      <c r="U37" s="32">
        <v>1</v>
      </c>
      <c r="V37" s="32">
        <v>1</v>
      </c>
    </row>
    <row r="38" spans="1:22" x14ac:dyDescent="0.25">
      <c r="A38" s="32" t="s">
        <v>31</v>
      </c>
      <c r="B38" s="41" t="s">
        <v>48</v>
      </c>
      <c r="C38" s="32">
        <v>0</v>
      </c>
      <c r="D38" s="32">
        <v>0</v>
      </c>
      <c r="E38" s="32">
        <v>0</v>
      </c>
      <c r="F38" s="32">
        <v>0</v>
      </c>
      <c r="G38" s="32">
        <v>0</v>
      </c>
      <c r="H38" s="32">
        <v>0</v>
      </c>
      <c r="I38" s="32">
        <v>0</v>
      </c>
      <c r="J38" s="32">
        <v>0</v>
      </c>
      <c r="K38" s="32">
        <v>0</v>
      </c>
      <c r="L38" s="73">
        <v>0</v>
      </c>
      <c r="M38" s="74">
        <v>0</v>
      </c>
      <c r="N38" s="32">
        <v>0</v>
      </c>
      <c r="O38" s="32">
        <v>0</v>
      </c>
      <c r="P38" s="32">
        <v>0</v>
      </c>
      <c r="Q38" s="32">
        <v>0</v>
      </c>
      <c r="R38" s="32">
        <v>0</v>
      </c>
      <c r="S38" s="32">
        <v>0</v>
      </c>
      <c r="T38" s="32">
        <v>0</v>
      </c>
      <c r="U38" s="32">
        <v>0</v>
      </c>
      <c r="V38" s="32">
        <v>0</v>
      </c>
    </row>
    <row r="39" spans="1:22" x14ac:dyDescent="0.25">
      <c r="A39" s="32" t="s">
        <v>32</v>
      </c>
      <c r="B39" s="41" t="s">
        <v>48</v>
      </c>
      <c r="C39" s="32">
        <v>0</v>
      </c>
      <c r="D39" s="32">
        <v>0</v>
      </c>
      <c r="E39" s="32">
        <v>0</v>
      </c>
      <c r="F39" s="32">
        <v>0</v>
      </c>
      <c r="G39" s="32">
        <v>0</v>
      </c>
      <c r="H39" s="32">
        <v>0</v>
      </c>
      <c r="I39" s="32">
        <v>0</v>
      </c>
      <c r="J39" s="32">
        <v>0</v>
      </c>
      <c r="K39" s="32">
        <v>0</v>
      </c>
      <c r="L39" s="73">
        <v>0</v>
      </c>
      <c r="M39" s="74">
        <v>0</v>
      </c>
      <c r="N39" s="32">
        <v>0</v>
      </c>
      <c r="O39" s="32">
        <v>0</v>
      </c>
      <c r="P39" s="32">
        <v>0</v>
      </c>
      <c r="Q39" s="32">
        <v>0</v>
      </c>
      <c r="R39" s="32">
        <v>0</v>
      </c>
      <c r="S39" s="32">
        <v>0</v>
      </c>
      <c r="T39" s="32">
        <v>0</v>
      </c>
      <c r="U39" s="32">
        <v>0</v>
      </c>
      <c r="V39" s="32">
        <v>0</v>
      </c>
    </row>
    <row r="40" spans="1:22" x14ac:dyDescent="0.25">
      <c r="A40" s="32" t="s">
        <v>33</v>
      </c>
      <c r="B40" s="33" t="s">
        <v>41</v>
      </c>
      <c r="C40" s="32">
        <v>0</v>
      </c>
      <c r="D40" s="32">
        <v>0</v>
      </c>
      <c r="E40" s="32">
        <v>0</v>
      </c>
      <c r="F40" s="32">
        <v>0</v>
      </c>
      <c r="G40" s="32">
        <v>0</v>
      </c>
      <c r="H40" s="32">
        <v>0</v>
      </c>
      <c r="I40" s="32">
        <v>0</v>
      </c>
      <c r="J40" s="32">
        <v>0</v>
      </c>
      <c r="K40" s="32">
        <v>0</v>
      </c>
      <c r="L40" s="73">
        <v>0</v>
      </c>
      <c r="M40" s="74">
        <v>0</v>
      </c>
      <c r="N40" s="32">
        <v>0</v>
      </c>
      <c r="O40" s="32">
        <v>0</v>
      </c>
      <c r="P40" s="32">
        <v>0</v>
      </c>
      <c r="Q40" s="32">
        <v>0</v>
      </c>
      <c r="R40" s="32">
        <v>0</v>
      </c>
      <c r="S40" s="32">
        <v>0</v>
      </c>
      <c r="T40" s="32">
        <v>0</v>
      </c>
      <c r="U40" s="32">
        <v>0</v>
      </c>
      <c r="V40" s="32">
        <v>0</v>
      </c>
    </row>
    <row r="41" spans="1:22" x14ac:dyDescent="0.25">
      <c r="A41" s="32" t="s">
        <v>34</v>
      </c>
      <c r="B41" s="40" t="s">
        <v>45</v>
      </c>
      <c r="C41" s="32">
        <v>1</v>
      </c>
      <c r="D41" s="32">
        <v>1</v>
      </c>
      <c r="E41" s="32">
        <v>1</v>
      </c>
      <c r="F41" s="32">
        <v>1</v>
      </c>
      <c r="G41" s="32">
        <v>1</v>
      </c>
      <c r="H41" s="32">
        <v>0</v>
      </c>
      <c r="I41" s="32">
        <v>0</v>
      </c>
      <c r="J41" s="32">
        <v>0</v>
      </c>
      <c r="K41" s="32">
        <v>0</v>
      </c>
      <c r="L41" s="73">
        <v>0</v>
      </c>
      <c r="M41" s="74">
        <v>0</v>
      </c>
      <c r="N41" s="32">
        <v>0</v>
      </c>
      <c r="O41" s="32">
        <v>0</v>
      </c>
      <c r="P41" s="32">
        <v>0</v>
      </c>
      <c r="Q41" s="32">
        <v>0</v>
      </c>
      <c r="R41" s="32">
        <v>0</v>
      </c>
      <c r="S41" s="32">
        <v>0</v>
      </c>
      <c r="T41" s="32">
        <v>0</v>
      </c>
      <c r="U41" s="32">
        <v>0</v>
      </c>
      <c r="V41" s="32">
        <v>0</v>
      </c>
    </row>
    <row r="42" spans="1:22" x14ac:dyDescent="0.25">
      <c r="A42" s="32" t="s">
        <v>63</v>
      </c>
      <c r="B42" s="40" t="s">
        <v>43</v>
      </c>
      <c r="C42" s="32">
        <v>1</v>
      </c>
      <c r="D42" s="32">
        <v>1</v>
      </c>
      <c r="E42" s="32">
        <v>1</v>
      </c>
      <c r="F42" s="32">
        <v>1</v>
      </c>
      <c r="G42" s="32">
        <v>1</v>
      </c>
      <c r="H42" s="32">
        <v>1</v>
      </c>
      <c r="I42" s="32">
        <v>1</v>
      </c>
      <c r="J42" s="32">
        <v>1</v>
      </c>
      <c r="K42" s="32">
        <v>1</v>
      </c>
      <c r="L42" s="73">
        <v>1</v>
      </c>
      <c r="M42" s="74">
        <v>1</v>
      </c>
      <c r="N42" s="32">
        <v>1</v>
      </c>
      <c r="O42" s="32">
        <v>1</v>
      </c>
      <c r="P42" s="32">
        <v>1</v>
      </c>
      <c r="Q42" s="32">
        <v>1</v>
      </c>
      <c r="R42" s="32">
        <v>1</v>
      </c>
      <c r="S42" s="32">
        <v>1</v>
      </c>
      <c r="T42" s="32">
        <v>1</v>
      </c>
      <c r="U42" s="32">
        <v>1</v>
      </c>
      <c r="V42" s="32">
        <v>1</v>
      </c>
    </row>
    <row r="43" spans="1:22" x14ac:dyDescent="0.25">
      <c r="A43" s="32" t="s">
        <v>64</v>
      </c>
      <c r="B43" s="33" t="s">
        <v>46</v>
      </c>
      <c r="C43" s="32">
        <v>1</v>
      </c>
      <c r="D43" s="32">
        <v>1</v>
      </c>
      <c r="E43" s="32">
        <v>0</v>
      </c>
      <c r="F43" s="32">
        <v>0</v>
      </c>
      <c r="G43" s="32">
        <v>0</v>
      </c>
      <c r="H43" s="32">
        <v>0</v>
      </c>
      <c r="I43" s="32">
        <v>0</v>
      </c>
      <c r="J43" s="32">
        <v>0</v>
      </c>
      <c r="K43" s="32">
        <v>0</v>
      </c>
      <c r="L43" s="73">
        <v>0</v>
      </c>
      <c r="M43" s="74">
        <v>0</v>
      </c>
      <c r="N43" s="32">
        <v>0</v>
      </c>
      <c r="O43" s="32">
        <v>0</v>
      </c>
      <c r="P43" s="32">
        <v>0</v>
      </c>
      <c r="Q43" s="32">
        <v>0</v>
      </c>
      <c r="R43" s="32">
        <v>0</v>
      </c>
      <c r="S43" s="32">
        <v>0</v>
      </c>
      <c r="T43" s="32">
        <v>0</v>
      </c>
      <c r="U43" s="32">
        <v>0</v>
      </c>
      <c r="V43" s="32">
        <v>0</v>
      </c>
    </row>
    <row r="44" spans="1:22" x14ac:dyDescent="0.25">
      <c r="A44" s="32" t="s">
        <v>65</v>
      </c>
      <c r="B44" s="33" t="s">
        <v>41</v>
      </c>
      <c r="C44" s="32">
        <v>1</v>
      </c>
      <c r="D44" s="32">
        <v>1</v>
      </c>
      <c r="E44" s="32">
        <v>1</v>
      </c>
      <c r="F44" s="32">
        <v>1</v>
      </c>
      <c r="G44" s="32">
        <v>1</v>
      </c>
      <c r="H44" s="32">
        <v>1</v>
      </c>
      <c r="I44" s="32">
        <v>1</v>
      </c>
      <c r="J44" s="32">
        <v>0</v>
      </c>
      <c r="K44" s="32">
        <v>0</v>
      </c>
      <c r="L44" s="73">
        <v>0</v>
      </c>
      <c r="M44" s="74">
        <v>0</v>
      </c>
      <c r="N44" s="32">
        <v>0</v>
      </c>
      <c r="O44" s="32">
        <v>0</v>
      </c>
      <c r="P44" s="32">
        <v>0</v>
      </c>
      <c r="Q44" s="32">
        <v>0</v>
      </c>
      <c r="R44" s="32">
        <v>0</v>
      </c>
      <c r="S44" s="32">
        <v>0</v>
      </c>
      <c r="T44" s="32">
        <v>0</v>
      </c>
      <c r="U44" s="32">
        <v>0</v>
      </c>
      <c r="V44" s="32">
        <v>0</v>
      </c>
    </row>
    <row r="45" spans="1:22" x14ac:dyDescent="0.25">
      <c r="A45" s="32" t="s">
        <v>35</v>
      </c>
      <c r="B45" s="33" t="s">
        <v>40</v>
      </c>
      <c r="C45" s="32">
        <v>1</v>
      </c>
      <c r="D45" s="32">
        <v>1</v>
      </c>
      <c r="E45" s="32">
        <v>0</v>
      </c>
      <c r="F45" s="32">
        <v>0</v>
      </c>
      <c r="G45" s="32">
        <v>0</v>
      </c>
      <c r="H45" s="32">
        <v>0</v>
      </c>
      <c r="I45" s="32">
        <v>0</v>
      </c>
      <c r="J45" s="32">
        <v>0</v>
      </c>
      <c r="K45" s="32">
        <v>0</v>
      </c>
      <c r="L45" s="73">
        <v>0</v>
      </c>
      <c r="M45" s="74">
        <v>0</v>
      </c>
      <c r="N45" s="32">
        <v>0</v>
      </c>
      <c r="O45" s="32">
        <v>0</v>
      </c>
      <c r="P45" s="32">
        <v>0</v>
      </c>
      <c r="Q45" s="32">
        <v>0</v>
      </c>
      <c r="R45" s="32">
        <v>0</v>
      </c>
      <c r="S45" s="32">
        <v>0</v>
      </c>
      <c r="T45" s="32">
        <v>0</v>
      </c>
      <c r="U45" s="32">
        <v>0</v>
      </c>
      <c r="V45" s="32">
        <v>0</v>
      </c>
    </row>
    <row r="46" spans="1:22" x14ac:dyDescent="0.25">
      <c r="A46" s="32" t="s">
        <v>36</v>
      </c>
      <c r="B46" s="33" t="s">
        <v>40</v>
      </c>
      <c r="C46" s="32">
        <v>1</v>
      </c>
      <c r="D46" s="32">
        <v>1</v>
      </c>
      <c r="E46" s="32">
        <v>0</v>
      </c>
      <c r="F46" s="32">
        <v>0</v>
      </c>
      <c r="G46" s="32">
        <v>0</v>
      </c>
      <c r="H46" s="32">
        <v>0</v>
      </c>
      <c r="I46" s="32">
        <v>0</v>
      </c>
      <c r="J46" s="32">
        <v>0</v>
      </c>
      <c r="K46" s="32">
        <v>0</v>
      </c>
      <c r="L46" s="73">
        <v>0</v>
      </c>
      <c r="M46" s="74">
        <v>0</v>
      </c>
      <c r="N46" s="32">
        <v>0</v>
      </c>
      <c r="O46" s="32">
        <v>0</v>
      </c>
      <c r="P46" s="32">
        <v>0</v>
      </c>
      <c r="Q46" s="32">
        <v>0</v>
      </c>
      <c r="R46" s="32">
        <v>0</v>
      </c>
      <c r="S46" s="32">
        <v>0</v>
      </c>
      <c r="T46" s="32">
        <v>0</v>
      </c>
      <c r="U46" s="32">
        <v>0</v>
      </c>
      <c r="V46" s="32">
        <v>0</v>
      </c>
    </row>
    <row r="47" spans="1:22" x14ac:dyDescent="0.25">
      <c r="A47" s="32" t="s">
        <v>37</v>
      </c>
      <c r="B47" s="33" t="s">
        <v>40</v>
      </c>
      <c r="C47" s="32">
        <v>1</v>
      </c>
      <c r="D47" s="32">
        <v>1</v>
      </c>
      <c r="E47" s="32">
        <v>0</v>
      </c>
      <c r="F47" s="32">
        <v>0</v>
      </c>
      <c r="G47" s="32">
        <v>0</v>
      </c>
      <c r="H47" s="32">
        <v>0</v>
      </c>
      <c r="I47" s="32">
        <v>0</v>
      </c>
      <c r="J47" s="32">
        <v>0</v>
      </c>
      <c r="K47" s="32">
        <v>0</v>
      </c>
      <c r="L47" s="73">
        <v>0</v>
      </c>
      <c r="M47" s="74">
        <v>0</v>
      </c>
      <c r="N47" s="32">
        <v>0</v>
      </c>
      <c r="O47" s="32">
        <v>0</v>
      </c>
      <c r="P47" s="32">
        <v>0</v>
      </c>
      <c r="Q47" s="32">
        <v>0</v>
      </c>
      <c r="R47" s="32">
        <v>0</v>
      </c>
      <c r="S47" s="32">
        <v>0</v>
      </c>
      <c r="T47" s="32">
        <v>0</v>
      </c>
      <c r="U47" s="32">
        <v>0</v>
      </c>
      <c r="V47" s="32">
        <v>0</v>
      </c>
    </row>
    <row r="48" spans="1:22" x14ac:dyDescent="0.25">
      <c r="A48" s="32" t="s">
        <v>38</v>
      </c>
      <c r="B48" s="33" t="s">
        <v>41</v>
      </c>
      <c r="C48" s="32">
        <v>1</v>
      </c>
      <c r="D48" s="32">
        <v>0</v>
      </c>
      <c r="E48" s="32">
        <v>0</v>
      </c>
      <c r="F48" s="32">
        <v>0</v>
      </c>
      <c r="G48" s="32">
        <v>0</v>
      </c>
      <c r="H48" s="32">
        <v>0</v>
      </c>
      <c r="I48" s="32">
        <v>0</v>
      </c>
      <c r="J48" s="32">
        <v>0</v>
      </c>
      <c r="K48" s="32">
        <v>0</v>
      </c>
      <c r="L48" s="73">
        <v>0</v>
      </c>
      <c r="M48" s="74">
        <v>0</v>
      </c>
      <c r="N48" s="32">
        <v>0</v>
      </c>
      <c r="O48" s="32">
        <v>0</v>
      </c>
      <c r="P48" s="32">
        <v>0</v>
      </c>
      <c r="Q48" s="32">
        <v>0</v>
      </c>
      <c r="R48" s="32">
        <v>0</v>
      </c>
      <c r="S48" s="32">
        <v>0</v>
      </c>
      <c r="T48" s="32">
        <v>0</v>
      </c>
      <c r="U48" s="32">
        <v>0</v>
      </c>
      <c r="V48" s="32">
        <v>0</v>
      </c>
    </row>
    <row r="49" spans="1:22" x14ac:dyDescent="0.25">
      <c r="A49" s="91" t="s">
        <v>88</v>
      </c>
      <c r="B49" s="23" t="str">
        <f>New_missions!B14</f>
        <v>Human Space Flight</v>
      </c>
      <c r="C49" s="23">
        <f>New_missions!C14+New_missions!C26</f>
        <v>-0.5</v>
      </c>
      <c r="D49" s="23">
        <f>New_missions!D14+New_missions!D26</f>
        <v>-1</v>
      </c>
      <c r="E49" s="23">
        <f>New_missions!E14+New_missions!E26</f>
        <v>-1.5</v>
      </c>
      <c r="F49" s="23">
        <f>New_missions!F14+New_missions!F26</f>
        <v>-2</v>
      </c>
      <c r="G49" s="23">
        <f>New_missions!G14+New_missions!G26</f>
        <v>-2.5</v>
      </c>
      <c r="H49" s="23">
        <f>New_missions!H14+New_missions!H26</f>
        <v>-3</v>
      </c>
      <c r="I49" s="23">
        <f>New_missions!I14+New_missions!I26</f>
        <v>-3.5</v>
      </c>
      <c r="J49" s="23">
        <f>New_missions!J14+New_missions!J26</f>
        <v>-4</v>
      </c>
      <c r="K49" s="23">
        <f>New_missions!K14+New_missions!K26</f>
        <v>-4.5</v>
      </c>
      <c r="L49" s="23">
        <f>New_missions!L14+New_missions!L26</f>
        <v>-5</v>
      </c>
      <c r="M49" s="23">
        <f>New_missions!M14+New_missions!M26</f>
        <v>-3</v>
      </c>
      <c r="N49" s="23">
        <f>New_missions!N14+New_missions!N26</f>
        <v>-3</v>
      </c>
      <c r="O49" s="23">
        <f>New_missions!O14+New_missions!O26</f>
        <v>-3</v>
      </c>
      <c r="P49" s="23">
        <f>New_missions!P14+New_missions!P26</f>
        <v>-3</v>
      </c>
      <c r="Q49" s="23">
        <f>New_missions!Q14+New_missions!Q26</f>
        <v>-3</v>
      </c>
      <c r="R49" s="23">
        <f>New_missions!R14+New_missions!R26</f>
        <v>-3</v>
      </c>
      <c r="S49" s="23">
        <f>New_missions!S14+New_missions!S26</f>
        <v>-3</v>
      </c>
      <c r="T49" s="23">
        <f>New_missions!T14+New_missions!T26</f>
        <v>-3</v>
      </c>
      <c r="U49" s="23">
        <f>New_missions!U14+New_missions!U26</f>
        <v>-3</v>
      </c>
      <c r="V49" s="23">
        <f>New_missions!V14+New_missions!V26</f>
        <v>-3</v>
      </c>
    </row>
    <row r="50" spans="1:22" x14ac:dyDescent="0.25">
      <c r="A50" s="91" t="s">
        <v>88</v>
      </c>
      <c r="B50" s="23" t="str">
        <f>New_missions!B15</f>
        <v>Near Earth Robotic - LEO Science</v>
      </c>
      <c r="C50" s="23">
        <f>New_missions!C15+New_missions!C27</f>
        <v>-0.3</v>
      </c>
      <c r="D50" s="23">
        <f>New_missions!D15+New_missions!D27</f>
        <v>1.4</v>
      </c>
      <c r="E50" s="23">
        <f>New_missions!E15+New_missions!E27</f>
        <v>2.1</v>
      </c>
      <c r="F50" s="23">
        <f>New_missions!F15+New_missions!F27</f>
        <v>3.8</v>
      </c>
      <c r="G50" s="23">
        <f>New_missions!G15+New_missions!G27</f>
        <v>6.5</v>
      </c>
      <c r="H50" s="23">
        <f>New_missions!H15+New_missions!H27</f>
        <v>9.1999999999999993</v>
      </c>
      <c r="I50" s="23">
        <f>New_missions!I15+New_missions!I27</f>
        <v>11.9</v>
      </c>
      <c r="J50" s="23">
        <f>New_missions!J15+New_missions!J27</f>
        <v>13.6</v>
      </c>
      <c r="K50" s="23">
        <f>New_missions!K15+New_missions!K27</f>
        <v>13.3</v>
      </c>
      <c r="L50" s="23">
        <f>New_missions!L15+New_missions!L27</f>
        <v>13</v>
      </c>
      <c r="M50" s="23">
        <f>New_missions!M15+New_missions!M27</f>
        <v>13</v>
      </c>
      <c r="N50" s="23">
        <f>New_missions!N15+New_missions!N27</f>
        <v>13</v>
      </c>
      <c r="O50" s="23">
        <f>New_missions!O15+New_missions!O27</f>
        <v>13</v>
      </c>
      <c r="P50" s="23">
        <f>New_missions!P15+New_missions!P27</f>
        <v>13</v>
      </c>
      <c r="Q50" s="23">
        <f>New_missions!Q15+New_missions!Q27</f>
        <v>13</v>
      </c>
      <c r="R50" s="23">
        <f>New_missions!R15+New_missions!R27</f>
        <v>13</v>
      </c>
      <c r="S50" s="23">
        <f>New_missions!S15+New_missions!S27</f>
        <v>13</v>
      </c>
      <c r="T50" s="23">
        <f>New_missions!T15+New_missions!T27</f>
        <v>13</v>
      </c>
      <c r="U50" s="23">
        <f>New_missions!U15+New_missions!U27</f>
        <v>13</v>
      </c>
      <c r="V50" s="23">
        <f>New_missions!V15+New_missions!V27</f>
        <v>13</v>
      </c>
    </row>
    <row r="51" spans="1:22" x14ac:dyDescent="0.25">
      <c r="A51" s="91" t="s">
        <v>88</v>
      </c>
      <c r="B51" s="23" t="str">
        <f>New_missions!B16</f>
        <v>Near Earth Robotic - GEO and Near Earth</v>
      </c>
      <c r="C51" s="23">
        <f>New_missions!C16+New_missions!C28</f>
        <v>-0.1</v>
      </c>
      <c r="D51" s="23">
        <f>New_missions!D16+New_missions!D28</f>
        <v>-0.2</v>
      </c>
      <c r="E51" s="23">
        <f>New_missions!E16+New_missions!E28</f>
        <v>3.7</v>
      </c>
      <c r="F51" s="23">
        <f>New_missions!F16+New_missions!F28</f>
        <v>3.6</v>
      </c>
      <c r="G51" s="23">
        <f>New_missions!G16+New_missions!G28</f>
        <v>3.5</v>
      </c>
      <c r="H51" s="23">
        <f>New_missions!H16+New_missions!H28</f>
        <v>3.4</v>
      </c>
      <c r="I51" s="23">
        <f>New_missions!I16+New_missions!I28</f>
        <v>3.3</v>
      </c>
      <c r="J51" s="23">
        <f>New_missions!J16+New_missions!J28</f>
        <v>3.2</v>
      </c>
      <c r="K51" s="23">
        <f>New_missions!K16+New_missions!K28</f>
        <v>3.1</v>
      </c>
      <c r="L51" s="23">
        <f>New_missions!L16+New_missions!L28</f>
        <v>3</v>
      </c>
      <c r="M51" s="23">
        <f>New_missions!M16+New_missions!M28</f>
        <v>3</v>
      </c>
      <c r="N51" s="23">
        <f>New_missions!N16+New_missions!N28</f>
        <v>3</v>
      </c>
      <c r="O51" s="23">
        <f>New_missions!O16+New_missions!O28</f>
        <v>3</v>
      </c>
      <c r="P51" s="23">
        <f>New_missions!P16+New_missions!P28</f>
        <v>3</v>
      </c>
      <c r="Q51" s="23">
        <f>New_missions!Q16+New_missions!Q28</f>
        <v>3</v>
      </c>
      <c r="R51" s="23">
        <f>New_missions!R16+New_missions!R28</f>
        <v>3</v>
      </c>
      <c r="S51" s="23">
        <f>New_missions!S16+New_missions!S28</f>
        <v>3</v>
      </c>
      <c r="T51" s="23">
        <f>New_missions!T16+New_missions!T28</f>
        <v>3</v>
      </c>
      <c r="U51" s="23">
        <f>New_missions!U16+New_missions!U28</f>
        <v>3</v>
      </c>
      <c r="V51" s="23">
        <f>New_missions!V16+New_missions!V28</f>
        <v>3</v>
      </c>
    </row>
    <row r="52" spans="1:22" x14ac:dyDescent="0.25">
      <c r="A52" s="91" t="s">
        <v>88</v>
      </c>
      <c r="B52" s="23" t="str">
        <f>New_missions!B17</f>
        <v>Deep Space Robotic</v>
      </c>
      <c r="C52" s="23">
        <f>New_missions!C17+New_missions!C29</f>
        <v>0</v>
      </c>
      <c r="D52" s="23">
        <f>New_missions!D17+New_missions!D29</f>
        <v>0</v>
      </c>
      <c r="E52" s="23">
        <f>New_missions!E17+New_missions!E29</f>
        <v>0</v>
      </c>
      <c r="F52" s="23">
        <f>New_missions!F17+New_missions!F29</f>
        <v>0</v>
      </c>
      <c r="G52" s="23">
        <f>New_missions!G17+New_missions!G29</f>
        <v>0</v>
      </c>
      <c r="H52" s="23">
        <f>New_missions!H17+New_missions!H29</f>
        <v>0</v>
      </c>
      <c r="I52" s="23">
        <f>New_missions!I17+New_missions!I29</f>
        <v>0</v>
      </c>
      <c r="J52" s="23">
        <f>New_missions!J17+New_missions!J29</f>
        <v>0</v>
      </c>
      <c r="K52" s="23">
        <f>New_missions!K17+New_missions!K29</f>
        <v>0</v>
      </c>
      <c r="L52" s="23">
        <f>New_missions!L17+New_missions!L29</f>
        <v>0</v>
      </c>
      <c r="M52" s="23">
        <f>New_missions!M17+New_missions!M29</f>
        <v>0</v>
      </c>
      <c r="N52" s="23">
        <f>New_missions!N17+New_missions!N29</f>
        <v>0</v>
      </c>
      <c r="O52" s="23">
        <f>New_missions!O17+New_missions!O29</f>
        <v>0</v>
      </c>
      <c r="P52" s="23">
        <f>New_missions!P17+New_missions!P29</f>
        <v>0</v>
      </c>
      <c r="Q52" s="23">
        <f>New_missions!Q17+New_missions!Q29</f>
        <v>0</v>
      </c>
      <c r="R52" s="23">
        <f>New_missions!R17+New_missions!R29</f>
        <v>0</v>
      </c>
      <c r="S52" s="23">
        <f>New_missions!S17+New_missions!S29</f>
        <v>0</v>
      </c>
      <c r="T52" s="23">
        <f>New_missions!T17+New_missions!T29</f>
        <v>0</v>
      </c>
      <c r="U52" s="23">
        <f>New_missions!U17+New_missions!U29</f>
        <v>0</v>
      </c>
      <c r="V52" s="23">
        <f>New_missions!V17+New_missions!V29</f>
        <v>0</v>
      </c>
    </row>
    <row r="53" spans="1:22" x14ac:dyDescent="0.25">
      <c r="A53" s="91" t="s">
        <v>88</v>
      </c>
      <c r="B53" s="23" t="str">
        <f>New_missions!B18</f>
        <v>Near Earth Robotic - Low Latency &amp; Complex Needs</v>
      </c>
      <c r="C53" s="23">
        <f>New_missions!C18+New_missions!C30</f>
        <v>-0.1</v>
      </c>
      <c r="D53" s="23">
        <f>New_missions!D18+New_missions!D30</f>
        <v>-0.2</v>
      </c>
      <c r="E53" s="23">
        <f>New_missions!E18+New_missions!E30</f>
        <v>-0.30000000000000004</v>
      </c>
      <c r="F53" s="23">
        <f>New_missions!F18+New_missions!F30</f>
        <v>-0.4</v>
      </c>
      <c r="G53" s="23">
        <f>New_missions!G18+New_missions!G30</f>
        <v>0.5</v>
      </c>
      <c r="H53" s="23">
        <f>New_missions!H18+New_missions!H30</f>
        <v>0.4</v>
      </c>
      <c r="I53" s="23">
        <f>New_missions!I18+New_missions!I30</f>
        <v>0.30000000000000004</v>
      </c>
      <c r="J53" s="23">
        <f>New_missions!J18+New_missions!J30</f>
        <v>0.20000000000000007</v>
      </c>
      <c r="K53" s="23">
        <f>New_missions!K18+New_missions!K30</f>
        <v>0.10000000000000009</v>
      </c>
      <c r="L53" s="23">
        <f>New_missions!L18+New_missions!L30</f>
        <v>0</v>
      </c>
      <c r="M53" s="23">
        <f>New_missions!M18+New_missions!M30</f>
        <v>0</v>
      </c>
      <c r="N53" s="23">
        <f>New_missions!N18+New_missions!N30</f>
        <v>0</v>
      </c>
      <c r="O53" s="23">
        <f>New_missions!O18+New_missions!O30</f>
        <v>0</v>
      </c>
      <c r="P53" s="23">
        <f>New_missions!P18+New_missions!P30</f>
        <v>0</v>
      </c>
      <c r="Q53" s="23">
        <f>New_missions!Q18+New_missions!Q30</f>
        <v>0</v>
      </c>
      <c r="R53" s="23">
        <f>New_missions!R18+New_missions!R30</f>
        <v>0</v>
      </c>
      <c r="S53" s="23">
        <f>New_missions!S18+New_missions!S30</f>
        <v>0</v>
      </c>
      <c r="T53" s="23">
        <f>New_missions!T18+New_missions!T30</f>
        <v>0</v>
      </c>
      <c r="U53" s="23">
        <f>New_missions!U18+New_missions!U30</f>
        <v>0</v>
      </c>
      <c r="V53" s="23">
        <f>New_missions!V18+New_missions!V30</f>
        <v>0</v>
      </c>
    </row>
    <row r="54" spans="1:22" x14ac:dyDescent="0.25">
      <c r="A54" s="91" t="s">
        <v>88</v>
      </c>
      <c r="B54" s="23" t="str">
        <f>New_missions!B19</f>
        <v>Mission Operations</v>
      </c>
      <c r="C54" s="23">
        <f>New_missions!C19+New_missions!C31</f>
        <v>0</v>
      </c>
      <c r="D54" s="23">
        <f>New_missions!D19+New_missions!D31</f>
        <v>0</v>
      </c>
      <c r="E54" s="23">
        <f>New_missions!E19+New_missions!E31</f>
        <v>0</v>
      </c>
      <c r="F54" s="23">
        <f>New_missions!F19+New_missions!F31</f>
        <v>0</v>
      </c>
      <c r="G54" s="23">
        <f>New_missions!G19+New_missions!G31</f>
        <v>0</v>
      </c>
      <c r="H54" s="23">
        <f>New_missions!H19+New_missions!H31</f>
        <v>0</v>
      </c>
      <c r="I54" s="23">
        <f>New_missions!I19+New_missions!I31</f>
        <v>0</v>
      </c>
      <c r="J54" s="23">
        <f>New_missions!J19+New_missions!J31</f>
        <v>0</v>
      </c>
      <c r="K54" s="23">
        <f>New_missions!K19+New_missions!K31</f>
        <v>0</v>
      </c>
      <c r="L54" s="23">
        <f>New_missions!L19+New_missions!L31</f>
        <v>0</v>
      </c>
      <c r="M54" s="23">
        <f>New_missions!M19+New_missions!M31</f>
        <v>0</v>
      </c>
      <c r="N54" s="23">
        <f>New_missions!N19+New_missions!N31</f>
        <v>0</v>
      </c>
      <c r="O54" s="23">
        <f>New_missions!O19+New_missions!O31</f>
        <v>0</v>
      </c>
      <c r="P54" s="23">
        <f>New_missions!P19+New_missions!P31</f>
        <v>0</v>
      </c>
      <c r="Q54" s="23">
        <f>New_missions!Q19+New_missions!Q31</f>
        <v>0</v>
      </c>
      <c r="R54" s="23">
        <f>New_missions!R19+New_missions!R31</f>
        <v>0</v>
      </c>
      <c r="S54" s="23">
        <f>New_missions!S19+New_missions!S31</f>
        <v>0</v>
      </c>
      <c r="T54" s="23">
        <f>New_missions!T19+New_missions!T31</f>
        <v>0</v>
      </c>
      <c r="U54" s="23">
        <f>New_missions!U19+New_missions!U31</f>
        <v>0</v>
      </c>
      <c r="V54" s="23">
        <f>New_missions!V19+New_missions!V31</f>
        <v>0</v>
      </c>
    </row>
    <row r="55" spans="1:22" x14ac:dyDescent="0.25">
      <c r="A55" s="91" t="s">
        <v>88</v>
      </c>
      <c r="B55" s="23" t="str">
        <f>New_missions!B20</f>
        <v>Launch Events</v>
      </c>
      <c r="C55" s="23" t="e">
        <f>New_missions!C20+New_missions!C32</f>
        <v>#REF!</v>
      </c>
      <c r="D55" s="23" t="e">
        <f>New_missions!D20+New_missions!D32</f>
        <v>#REF!</v>
      </c>
      <c r="E55" s="23" t="e">
        <f>New_missions!E20+New_missions!E32</f>
        <v>#REF!</v>
      </c>
      <c r="F55" s="23" t="e">
        <f>New_missions!F20+New_missions!F32</f>
        <v>#REF!</v>
      </c>
      <c r="G55" s="23" t="e">
        <f>New_missions!G20+New_missions!G32</f>
        <v>#REF!</v>
      </c>
      <c r="H55" s="23" t="e">
        <f>New_missions!H20+New_missions!H32</f>
        <v>#REF!</v>
      </c>
      <c r="I55" s="23" t="e">
        <f>New_missions!I20+New_missions!I32</f>
        <v>#REF!</v>
      </c>
      <c r="J55" s="23" t="e">
        <f>New_missions!J20+New_missions!J32</f>
        <v>#REF!</v>
      </c>
      <c r="K55" s="23" t="e">
        <f>New_missions!K20+New_missions!K32</f>
        <v>#REF!</v>
      </c>
      <c r="L55" s="23" t="e">
        <f>New_missions!L20+New_missions!L32</f>
        <v>#REF!</v>
      </c>
      <c r="M55" s="23" t="e">
        <f>New_missions!M20+New_missions!M32</f>
        <v>#REF!</v>
      </c>
      <c r="N55" s="23" t="e">
        <f>New_missions!N20+New_missions!N32</f>
        <v>#REF!</v>
      </c>
      <c r="O55" s="23" t="e">
        <f>New_missions!O20+New_missions!O32</f>
        <v>#REF!</v>
      </c>
      <c r="P55" s="23" t="e">
        <f>New_missions!P20+New_missions!P32</f>
        <v>#REF!</v>
      </c>
      <c r="Q55" s="23" t="e">
        <f>New_missions!Q20+New_missions!Q32</f>
        <v>#REF!</v>
      </c>
      <c r="R55" s="23" t="e">
        <f>New_missions!R20+New_missions!R32</f>
        <v>#REF!</v>
      </c>
      <c r="S55" s="23" t="e">
        <f>New_missions!S20+New_missions!S32</f>
        <v>#REF!</v>
      </c>
      <c r="T55" s="23" t="e">
        <f>New_missions!T20+New_missions!T32</f>
        <v>#REF!</v>
      </c>
      <c r="U55" s="23" t="e">
        <f>New_missions!U20+New_missions!U32</f>
        <v>#REF!</v>
      </c>
      <c r="V55" s="23" t="e">
        <f>New_missions!V20+New_missions!V32</f>
        <v>#REF!</v>
      </c>
    </row>
    <row r="56" spans="1:22" x14ac:dyDescent="0.25">
      <c r="A56" s="91" t="s">
        <v>88</v>
      </c>
      <c r="B56" s="23" t="str">
        <f>New_missions!B21</f>
        <v>Terrestrial &amp; Aerial</v>
      </c>
      <c r="C56" s="23">
        <f>New_missions!C21+New_missions!C33</f>
        <v>-0.3</v>
      </c>
      <c r="D56" s="23">
        <f>New_missions!D21+New_missions!D33</f>
        <v>0.4</v>
      </c>
      <c r="E56" s="23">
        <f>New_missions!E21+New_missions!E33</f>
        <v>0.10000000000000009</v>
      </c>
      <c r="F56" s="23">
        <f>New_missions!F21+New_missions!F33</f>
        <v>-0.19999999999999996</v>
      </c>
      <c r="G56" s="23">
        <f>New_missions!G21+New_missions!G33</f>
        <v>-0.5</v>
      </c>
      <c r="H56" s="23">
        <f>New_missions!H21+New_missions!H33</f>
        <v>0.19999999999999996</v>
      </c>
      <c r="I56" s="23">
        <f>New_missions!I21+New_missions!I33</f>
        <v>-0.10000000000000009</v>
      </c>
      <c r="J56" s="23">
        <f>New_missions!J21+New_missions!J33</f>
        <v>-0.39999999999999991</v>
      </c>
      <c r="K56" s="23">
        <f>New_missions!K21+New_missions!K33</f>
        <v>-0.69999999999999973</v>
      </c>
      <c r="L56" s="23">
        <f>New_missions!L21+New_missions!L33</f>
        <v>-0.99999999999999956</v>
      </c>
      <c r="M56" s="23">
        <f>New_missions!M21+New_missions!M33</f>
        <v>-0.99999999999999956</v>
      </c>
      <c r="N56" s="23">
        <f>New_missions!N21+New_missions!N33</f>
        <v>-0.99999999999999956</v>
      </c>
      <c r="O56" s="23">
        <f>New_missions!O21+New_missions!O33</f>
        <v>-0.99999999999999956</v>
      </c>
      <c r="P56" s="23">
        <f>New_missions!P21+New_missions!P33</f>
        <v>-0.99999999999999956</v>
      </c>
      <c r="Q56" s="23">
        <f>New_missions!Q21+New_missions!Q33</f>
        <v>-0.99999999999999956</v>
      </c>
      <c r="R56" s="23">
        <f>New_missions!R21+New_missions!R33</f>
        <v>-0.99999999999999956</v>
      </c>
      <c r="S56" s="23">
        <f>New_missions!S21+New_missions!S33</f>
        <v>-0.99999999999999956</v>
      </c>
      <c r="T56" s="23">
        <f>New_missions!T21+New_missions!T33</f>
        <v>-0.99999999999999956</v>
      </c>
      <c r="U56" s="23">
        <f>New_missions!U21+New_missions!U33</f>
        <v>-0.99999999999999956</v>
      </c>
      <c r="V56" s="23">
        <f>New_missions!V21+New_missions!V33</f>
        <v>-0.99999999999999956</v>
      </c>
    </row>
    <row r="57" spans="1:22" x14ac:dyDescent="0.25">
      <c r="A57" s="85"/>
      <c r="B57" s="92"/>
    </row>
    <row r="58" spans="1:22" x14ac:dyDescent="0.25">
      <c r="A58" s="85"/>
      <c r="B58" s="92"/>
      <c r="C58" s="94" t="e">
        <f>SUM(C2:C56)</f>
        <v>#REF!</v>
      </c>
      <c r="D58" s="94" t="e">
        <f>SUM(D2:D56)</f>
        <v>#REF!</v>
      </c>
      <c r="E58" s="94" t="e">
        <f t="shared" ref="E58:V58" si="0">SUM(E2:E56)</f>
        <v>#REF!</v>
      </c>
      <c r="F58" s="94" t="e">
        <f t="shared" si="0"/>
        <v>#REF!</v>
      </c>
      <c r="G58" s="94" t="e">
        <f t="shared" si="0"/>
        <v>#REF!</v>
      </c>
      <c r="H58" s="94" t="e">
        <f t="shared" si="0"/>
        <v>#REF!</v>
      </c>
      <c r="I58" s="94" t="e">
        <f t="shared" si="0"/>
        <v>#REF!</v>
      </c>
      <c r="J58" s="94" t="e">
        <f t="shared" si="0"/>
        <v>#REF!</v>
      </c>
      <c r="K58" s="94" t="e">
        <f t="shared" si="0"/>
        <v>#REF!</v>
      </c>
      <c r="L58" s="95" t="e">
        <f t="shared" si="0"/>
        <v>#REF!</v>
      </c>
      <c r="M58" s="94" t="e">
        <f t="shared" si="0"/>
        <v>#REF!</v>
      </c>
      <c r="N58" s="94" t="e">
        <f t="shared" si="0"/>
        <v>#REF!</v>
      </c>
      <c r="O58" s="94" t="e">
        <f t="shared" si="0"/>
        <v>#REF!</v>
      </c>
      <c r="P58" s="94" t="e">
        <f t="shared" si="0"/>
        <v>#REF!</v>
      </c>
      <c r="Q58" s="94" t="e">
        <f t="shared" si="0"/>
        <v>#REF!</v>
      </c>
      <c r="R58" s="94" t="e">
        <f t="shared" si="0"/>
        <v>#REF!</v>
      </c>
      <c r="S58" s="94" t="e">
        <f t="shared" si="0"/>
        <v>#REF!</v>
      </c>
      <c r="T58" s="94" t="e">
        <f t="shared" si="0"/>
        <v>#REF!</v>
      </c>
      <c r="U58" s="94" t="e">
        <f t="shared" si="0"/>
        <v>#REF!</v>
      </c>
      <c r="V58" s="94" t="e">
        <f t="shared" si="0"/>
        <v>#REF!</v>
      </c>
    </row>
    <row r="59" spans="1:22" ht="14.4" thickBot="1" x14ac:dyDescent="0.3">
      <c r="B59" s="2" t="s">
        <v>7</v>
      </c>
    </row>
    <row r="60" spans="1:22" x14ac:dyDescent="0.25">
      <c r="B60" s="57" t="s">
        <v>82</v>
      </c>
      <c r="C60" s="58">
        <f>C1</f>
        <v>2021</v>
      </c>
      <c r="D60" s="58">
        <f t="shared" ref="D60:V60" si="1">D1</f>
        <v>2022</v>
      </c>
      <c r="E60" s="58">
        <f t="shared" si="1"/>
        <v>2023</v>
      </c>
      <c r="F60" s="58">
        <f t="shared" si="1"/>
        <v>2024</v>
      </c>
      <c r="G60" s="58">
        <f t="shared" si="1"/>
        <v>2025</v>
      </c>
      <c r="H60" s="58">
        <f t="shared" si="1"/>
        <v>2026</v>
      </c>
      <c r="I60" s="58">
        <f t="shared" si="1"/>
        <v>2027</v>
      </c>
      <c r="J60" s="58">
        <f t="shared" si="1"/>
        <v>2028</v>
      </c>
      <c r="K60" s="58">
        <f t="shared" si="1"/>
        <v>2029</v>
      </c>
      <c r="L60" s="75">
        <f t="shared" si="1"/>
        <v>2030</v>
      </c>
      <c r="M60" s="76">
        <f t="shared" si="1"/>
        <v>2031</v>
      </c>
      <c r="N60" s="58">
        <f t="shared" si="1"/>
        <v>2032</v>
      </c>
      <c r="O60" s="58">
        <f t="shared" si="1"/>
        <v>2033</v>
      </c>
      <c r="P60" s="58">
        <f t="shared" si="1"/>
        <v>2034</v>
      </c>
      <c r="Q60" s="58">
        <f t="shared" si="1"/>
        <v>2035</v>
      </c>
      <c r="R60" s="58">
        <f t="shared" si="1"/>
        <v>2036</v>
      </c>
      <c r="S60" s="58">
        <f t="shared" si="1"/>
        <v>2037</v>
      </c>
      <c r="T60" s="58">
        <f t="shared" si="1"/>
        <v>2038</v>
      </c>
      <c r="U60" s="58">
        <f t="shared" si="1"/>
        <v>2039</v>
      </c>
      <c r="V60" s="58">
        <f t="shared" si="1"/>
        <v>2040</v>
      </c>
    </row>
    <row r="61" spans="1:22" x14ac:dyDescent="0.25">
      <c r="B61" s="36" t="s">
        <v>43</v>
      </c>
      <c r="C61" s="37">
        <f t="shared" ref="C61:C68" si="2">SUMIF($B$2:$B$56,$B61,C$2:C$56)</f>
        <v>5.5</v>
      </c>
      <c r="D61" s="37">
        <f t="shared" ref="D61:V68" si="3">SUMIF($B$2:$B$56,$B61,D$2:D$56)</f>
        <v>5</v>
      </c>
      <c r="E61" s="37">
        <f t="shared" si="3"/>
        <v>4.5</v>
      </c>
      <c r="F61" s="37">
        <f t="shared" si="3"/>
        <v>4</v>
      </c>
      <c r="G61" s="37">
        <f t="shared" si="3"/>
        <v>3.5</v>
      </c>
      <c r="H61" s="37">
        <f t="shared" si="3"/>
        <v>3</v>
      </c>
      <c r="I61" s="37">
        <f t="shared" si="3"/>
        <v>2.5</v>
      </c>
      <c r="J61" s="37">
        <f t="shared" si="3"/>
        <v>2</v>
      </c>
      <c r="K61" s="37">
        <f>SUMIF($B$2:$B$56,$B61,K$2:K$56)</f>
        <v>1.5</v>
      </c>
      <c r="L61" s="37">
        <f t="shared" si="3"/>
        <v>1</v>
      </c>
      <c r="M61" s="37">
        <f t="shared" si="3"/>
        <v>1</v>
      </c>
      <c r="N61" s="37">
        <f t="shared" si="3"/>
        <v>1</v>
      </c>
      <c r="O61" s="37">
        <f t="shared" si="3"/>
        <v>1</v>
      </c>
      <c r="P61" s="37">
        <f t="shared" si="3"/>
        <v>1</v>
      </c>
      <c r="Q61" s="37">
        <f t="shared" si="3"/>
        <v>1</v>
      </c>
      <c r="R61" s="37">
        <f t="shared" si="3"/>
        <v>1</v>
      </c>
      <c r="S61" s="37">
        <f t="shared" si="3"/>
        <v>1</v>
      </c>
      <c r="T61" s="37">
        <f t="shared" si="3"/>
        <v>1</v>
      </c>
      <c r="U61" s="37">
        <f t="shared" si="3"/>
        <v>1</v>
      </c>
      <c r="V61" s="37">
        <f t="shared" si="3"/>
        <v>1</v>
      </c>
    </row>
    <row r="62" spans="1:22" x14ac:dyDescent="0.25">
      <c r="B62" s="36" t="s">
        <v>41</v>
      </c>
      <c r="C62" s="37">
        <f t="shared" si="2"/>
        <v>16.7</v>
      </c>
      <c r="D62" s="37">
        <f t="shared" ref="D62:J62" si="4">SUMIF($B$2:$B$56,$B62,D$2:D$56)</f>
        <v>16.399999999999999</v>
      </c>
      <c r="E62" s="37">
        <f t="shared" si="4"/>
        <v>16.100000000000001</v>
      </c>
      <c r="F62" s="37">
        <f t="shared" si="4"/>
        <v>15.8</v>
      </c>
      <c r="G62" s="37">
        <f t="shared" si="4"/>
        <v>15.5</v>
      </c>
      <c r="H62" s="37">
        <f t="shared" si="4"/>
        <v>15.2</v>
      </c>
      <c r="I62" s="37">
        <f t="shared" si="4"/>
        <v>14.9</v>
      </c>
      <c r="J62" s="37">
        <f t="shared" si="4"/>
        <v>14.6</v>
      </c>
      <c r="K62" s="37">
        <f>SUMIF($B$2:$B$56,$B62,K$2:K$56)</f>
        <v>14.3</v>
      </c>
      <c r="L62" s="37">
        <f t="shared" ref="L62:R62" si="5">SUMIF($B$2:$B$56,$B62,L$2:L$56)</f>
        <v>14</v>
      </c>
      <c r="M62" s="37">
        <f t="shared" si="5"/>
        <v>14</v>
      </c>
      <c r="N62" s="37">
        <f t="shared" si="5"/>
        <v>14</v>
      </c>
      <c r="O62" s="37">
        <f t="shared" si="5"/>
        <v>14</v>
      </c>
      <c r="P62" s="37">
        <f t="shared" si="5"/>
        <v>14</v>
      </c>
      <c r="Q62" s="37">
        <f t="shared" si="5"/>
        <v>14</v>
      </c>
      <c r="R62" s="37">
        <f t="shared" si="5"/>
        <v>14</v>
      </c>
      <c r="S62" s="37">
        <f t="shared" si="3"/>
        <v>14</v>
      </c>
      <c r="T62" s="37">
        <f t="shared" si="3"/>
        <v>14</v>
      </c>
      <c r="U62" s="37">
        <f t="shared" si="3"/>
        <v>14</v>
      </c>
      <c r="V62" s="37">
        <f t="shared" si="3"/>
        <v>14</v>
      </c>
    </row>
    <row r="63" spans="1:22" x14ac:dyDescent="0.25">
      <c r="B63" s="36" t="s">
        <v>40</v>
      </c>
      <c r="C63" s="37">
        <f t="shared" si="2"/>
        <v>7.9</v>
      </c>
      <c r="D63" s="37">
        <f t="shared" si="3"/>
        <v>7.8</v>
      </c>
      <c r="E63" s="37">
        <f t="shared" si="3"/>
        <v>7.7</v>
      </c>
      <c r="F63" s="37">
        <f t="shared" si="3"/>
        <v>7.6</v>
      </c>
      <c r="G63" s="37">
        <f t="shared" si="3"/>
        <v>7.5</v>
      </c>
      <c r="H63" s="37">
        <f t="shared" si="3"/>
        <v>7.4</v>
      </c>
      <c r="I63" s="37">
        <f t="shared" si="3"/>
        <v>7.3</v>
      </c>
      <c r="J63" s="37">
        <f t="shared" si="3"/>
        <v>7.2</v>
      </c>
      <c r="K63" s="37">
        <f t="shared" si="3"/>
        <v>7.1</v>
      </c>
      <c r="L63" s="37">
        <f t="shared" si="3"/>
        <v>7</v>
      </c>
      <c r="M63" s="37">
        <f t="shared" si="3"/>
        <v>7</v>
      </c>
      <c r="N63" s="37">
        <f t="shared" si="3"/>
        <v>7</v>
      </c>
      <c r="O63" s="37">
        <f t="shared" si="3"/>
        <v>7</v>
      </c>
      <c r="P63" s="37">
        <f t="shared" si="3"/>
        <v>7</v>
      </c>
      <c r="Q63" s="37">
        <f t="shared" si="3"/>
        <v>7</v>
      </c>
      <c r="R63" s="37">
        <f t="shared" si="3"/>
        <v>7</v>
      </c>
      <c r="S63" s="37">
        <f t="shared" si="3"/>
        <v>7</v>
      </c>
      <c r="T63" s="37">
        <f t="shared" si="3"/>
        <v>7</v>
      </c>
      <c r="U63" s="37">
        <f t="shared" si="3"/>
        <v>7</v>
      </c>
      <c r="V63" s="37">
        <f t="shared" si="3"/>
        <v>7</v>
      </c>
    </row>
    <row r="64" spans="1:22" x14ac:dyDescent="0.25">
      <c r="B64" s="36" t="s">
        <v>80</v>
      </c>
      <c r="C64" s="37">
        <f t="shared" si="2"/>
        <v>0</v>
      </c>
      <c r="D64" s="37">
        <f t="shared" si="3"/>
        <v>0</v>
      </c>
      <c r="E64" s="37">
        <f t="shared" si="3"/>
        <v>0</v>
      </c>
      <c r="F64" s="37">
        <f t="shared" si="3"/>
        <v>0</v>
      </c>
      <c r="G64" s="37">
        <f t="shared" si="3"/>
        <v>0</v>
      </c>
      <c r="H64" s="37">
        <f t="shared" si="3"/>
        <v>0</v>
      </c>
      <c r="I64" s="37">
        <f t="shared" si="3"/>
        <v>0</v>
      </c>
      <c r="J64" s="37">
        <f t="shared" si="3"/>
        <v>0</v>
      </c>
      <c r="K64" s="37">
        <f t="shared" si="3"/>
        <v>0</v>
      </c>
      <c r="L64" s="37">
        <f t="shared" si="3"/>
        <v>0</v>
      </c>
      <c r="M64" s="37">
        <f t="shared" si="3"/>
        <v>0</v>
      </c>
      <c r="N64" s="37">
        <f t="shared" si="3"/>
        <v>0</v>
      </c>
      <c r="O64" s="37">
        <f t="shared" si="3"/>
        <v>0</v>
      </c>
      <c r="P64" s="37">
        <f t="shared" si="3"/>
        <v>0</v>
      </c>
      <c r="Q64" s="37">
        <f t="shared" si="3"/>
        <v>0</v>
      </c>
      <c r="R64" s="37">
        <f t="shared" si="3"/>
        <v>0</v>
      </c>
      <c r="S64" s="37">
        <f t="shared" si="3"/>
        <v>0</v>
      </c>
      <c r="T64" s="37">
        <f t="shared" si="3"/>
        <v>0</v>
      </c>
      <c r="U64" s="37">
        <f t="shared" si="3"/>
        <v>0</v>
      </c>
      <c r="V64" s="37">
        <f t="shared" si="3"/>
        <v>0</v>
      </c>
    </row>
    <row r="65" spans="1:22" x14ac:dyDescent="0.25">
      <c r="B65" s="36" t="s">
        <v>44</v>
      </c>
      <c r="C65" s="37">
        <f t="shared" si="2"/>
        <v>0.9</v>
      </c>
      <c r="D65" s="37">
        <f t="shared" si="3"/>
        <v>0.8</v>
      </c>
      <c r="E65" s="37">
        <f t="shared" si="3"/>
        <v>0.7</v>
      </c>
      <c r="F65" s="37">
        <f t="shared" si="3"/>
        <v>0.6</v>
      </c>
      <c r="G65" s="37">
        <f t="shared" si="3"/>
        <v>0.5</v>
      </c>
      <c r="H65" s="37">
        <f t="shared" si="3"/>
        <v>0.4</v>
      </c>
      <c r="I65" s="37">
        <f t="shared" si="3"/>
        <v>0.30000000000000004</v>
      </c>
      <c r="J65" s="37">
        <f t="shared" si="3"/>
        <v>0.20000000000000007</v>
      </c>
      <c r="K65" s="37">
        <f t="shared" si="3"/>
        <v>0.10000000000000009</v>
      </c>
      <c r="L65" s="37">
        <f t="shared" si="3"/>
        <v>0</v>
      </c>
      <c r="M65" s="37">
        <f t="shared" si="3"/>
        <v>0</v>
      </c>
      <c r="N65" s="37">
        <f t="shared" si="3"/>
        <v>0</v>
      </c>
      <c r="O65" s="37">
        <f t="shared" si="3"/>
        <v>0</v>
      </c>
      <c r="P65" s="37">
        <f t="shared" si="3"/>
        <v>0</v>
      </c>
      <c r="Q65" s="37">
        <f t="shared" si="3"/>
        <v>0</v>
      </c>
      <c r="R65" s="37">
        <f t="shared" si="3"/>
        <v>0</v>
      </c>
      <c r="S65" s="37">
        <f t="shared" si="3"/>
        <v>0</v>
      </c>
      <c r="T65" s="37">
        <f t="shared" si="3"/>
        <v>0</v>
      </c>
      <c r="U65" s="37">
        <f t="shared" si="3"/>
        <v>0</v>
      </c>
      <c r="V65" s="37">
        <f t="shared" si="3"/>
        <v>0</v>
      </c>
    </row>
    <row r="66" spans="1:22" x14ac:dyDescent="0.25">
      <c r="B66" s="36" t="s">
        <v>81</v>
      </c>
      <c r="C66" s="37">
        <f t="shared" si="2"/>
        <v>0</v>
      </c>
      <c r="D66" s="37">
        <f t="shared" si="3"/>
        <v>0</v>
      </c>
      <c r="E66" s="37">
        <f t="shared" si="3"/>
        <v>0</v>
      </c>
      <c r="F66" s="37">
        <f t="shared" si="3"/>
        <v>0</v>
      </c>
      <c r="G66" s="37">
        <f t="shared" si="3"/>
        <v>0</v>
      </c>
      <c r="H66" s="37">
        <f t="shared" si="3"/>
        <v>0</v>
      </c>
      <c r="I66" s="37">
        <f t="shared" si="3"/>
        <v>0</v>
      </c>
      <c r="J66" s="37">
        <f t="shared" si="3"/>
        <v>0</v>
      </c>
      <c r="K66" s="37">
        <f t="shared" si="3"/>
        <v>0</v>
      </c>
      <c r="L66" s="37">
        <f t="shared" si="3"/>
        <v>0</v>
      </c>
      <c r="M66" s="37">
        <f t="shared" si="3"/>
        <v>0</v>
      </c>
      <c r="N66" s="37">
        <f t="shared" si="3"/>
        <v>0</v>
      </c>
      <c r="O66" s="37">
        <f t="shared" si="3"/>
        <v>0</v>
      </c>
      <c r="P66" s="37">
        <f t="shared" si="3"/>
        <v>0</v>
      </c>
      <c r="Q66" s="37">
        <f t="shared" si="3"/>
        <v>0</v>
      </c>
      <c r="R66" s="37">
        <f t="shared" si="3"/>
        <v>0</v>
      </c>
      <c r="S66" s="37">
        <f t="shared" si="3"/>
        <v>0</v>
      </c>
      <c r="T66" s="37">
        <f t="shared" si="3"/>
        <v>0</v>
      </c>
      <c r="U66" s="37">
        <f t="shared" si="3"/>
        <v>0</v>
      </c>
      <c r="V66" s="37">
        <f t="shared" si="3"/>
        <v>0</v>
      </c>
    </row>
    <row r="67" spans="1:22" x14ac:dyDescent="0.25">
      <c r="B67" s="36" t="s">
        <v>42</v>
      </c>
      <c r="C67" s="37" t="e">
        <f t="shared" si="2"/>
        <v>#REF!</v>
      </c>
      <c r="D67" s="37" t="e">
        <f t="shared" si="3"/>
        <v>#REF!</v>
      </c>
      <c r="E67" s="37" t="e">
        <f t="shared" si="3"/>
        <v>#REF!</v>
      </c>
      <c r="F67" s="37" t="e">
        <f t="shared" si="3"/>
        <v>#REF!</v>
      </c>
      <c r="G67" s="37" t="e">
        <f t="shared" si="3"/>
        <v>#REF!</v>
      </c>
      <c r="H67" s="37" t="e">
        <f t="shared" si="3"/>
        <v>#REF!</v>
      </c>
      <c r="I67" s="37" t="e">
        <f t="shared" si="3"/>
        <v>#REF!</v>
      </c>
      <c r="J67" s="37" t="e">
        <f t="shared" si="3"/>
        <v>#REF!</v>
      </c>
      <c r="K67" s="37" t="e">
        <f t="shared" si="3"/>
        <v>#REF!</v>
      </c>
      <c r="L67" s="37" t="e">
        <f t="shared" si="3"/>
        <v>#REF!</v>
      </c>
      <c r="M67" s="37" t="e">
        <f t="shared" si="3"/>
        <v>#REF!</v>
      </c>
      <c r="N67" s="37" t="e">
        <f t="shared" si="3"/>
        <v>#REF!</v>
      </c>
      <c r="O67" s="37" t="e">
        <f t="shared" si="3"/>
        <v>#REF!</v>
      </c>
      <c r="P67" s="37" t="e">
        <f t="shared" si="3"/>
        <v>#REF!</v>
      </c>
      <c r="Q67" s="37" t="e">
        <f t="shared" si="3"/>
        <v>#REF!</v>
      </c>
      <c r="R67" s="37" t="e">
        <f t="shared" si="3"/>
        <v>#REF!</v>
      </c>
      <c r="S67" s="37" t="e">
        <f t="shared" si="3"/>
        <v>#REF!</v>
      </c>
      <c r="T67" s="37" t="e">
        <f t="shared" si="3"/>
        <v>#REF!</v>
      </c>
      <c r="U67" s="37" t="e">
        <f t="shared" si="3"/>
        <v>#REF!</v>
      </c>
      <c r="V67" s="37" t="e">
        <f t="shared" si="3"/>
        <v>#REF!</v>
      </c>
    </row>
    <row r="68" spans="1:22" ht="14.4" thickBot="1" x14ac:dyDescent="0.3">
      <c r="B68" s="42" t="s">
        <v>45</v>
      </c>
      <c r="C68" s="37">
        <f t="shared" si="2"/>
        <v>2.7</v>
      </c>
      <c r="D68" s="37">
        <f t="shared" si="3"/>
        <v>2.4</v>
      </c>
      <c r="E68" s="37">
        <f t="shared" si="3"/>
        <v>2.1</v>
      </c>
      <c r="F68" s="37">
        <f t="shared" si="3"/>
        <v>1.8</v>
      </c>
      <c r="G68" s="37">
        <f t="shared" si="3"/>
        <v>1.5</v>
      </c>
      <c r="H68" s="37">
        <f t="shared" si="3"/>
        <v>1.2</v>
      </c>
      <c r="I68" s="37">
        <f t="shared" si="3"/>
        <v>0.89999999999999991</v>
      </c>
      <c r="J68" s="37">
        <f t="shared" si="3"/>
        <v>0.60000000000000009</v>
      </c>
      <c r="K68" s="37">
        <f t="shared" si="3"/>
        <v>0.30000000000000027</v>
      </c>
      <c r="L68" s="37">
        <f t="shared" si="3"/>
        <v>4.4408920985006262E-16</v>
      </c>
      <c r="M68" s="37">
        <f t="shared" si="3"/>
        <v>4.4408920985006262E-16</v>
      </c>
      <c r="N68" s="37">
        <f t="shared" si="3"/>
        <v>4.4408920985006262E-16</v>
      </c>
      <c r="O68" s="37">
        <f t="shared" si="3"/>
        <v>4.4408920985006262E-16</v>
      </c>
      <c r="P68" s="37">
        <f t="shared" si="3"/>
        <v>4.4408920985006262E-16</v>
      </c>
      <c r="Q68" s="37">
        <f t="shared" si="3"/>
        <v>4.4408920985006262E-16</v>
      </c>
      <c r="R68" s="37">
        <f t="shared" si="3"/>
        <v>4.4408920985006262E-16</v>
      </c>
      <c r="S68" s="37">
        <f t="shared" si="3"/>
        <v>4.4408920985006262E-16</v>
      </c>
      <c r="T68" s="37">
        <f t="shared" si="3"/>
        <v>4.4408920985006262E-16</v>
      </c>
      <c r="U68" s="37">
        <f t="shared" si="3"/>
        <v>4.4408920985006262E-16</v>
      </c>
      <c r="V68" s="37">
        <f t="shared" si="3"/>
        <v>4.4408920985006262E-16</v>
      </c>
    </row>
    <row r="70" spans="1:22" x14ac:dyDescent="0.25">
      <c r="C70" s="96" t="e">
        <f>SUM(C61:C68)</f>
        <v>#REF!</v>
      </c>
      <c r="D70" s="96" t="e">
        <f t="shared" ref="D70:V70" si="6">SUM(D61:D68)</f>
        <v>#REF!</v>
      </c>
      <c r="E70" s="96" t="e">
        <f t="shared" si="6"/>
        <v>#REF!</v>
      </c>
      <c r="F70" s="96" t="e">
        <f t="shared" si="6"/>
        <v>#REF!</v>
      </c>
      <c r="G70" s="96" t="e">
        <f t="shared" si="6"/>
        <v>#REF!</v>
      </c>
      <c r="H70" s="96" t="e">
        <f t="shared" si="6"/>
        <v>#REF!</v>
      </c>
      <c r="I70" s="96" t="e">
        <f t="shared" si="6"/>
        <v>#REF!</v>
      </c>
      <c r="J70" s="96" t="e">
        <f t="shared" si="6"/>
        <v>#REF!</v>
      </c>
      <c r="K70" s="96" t="e">
        <f t="shared" si="6"/>
        <v>#REF!</v>
      </c>
      <c r="L70" s="97" t="e">
        <f t="shared" si="6"/>
        <v>#REF!</v>
      </c>
      <c r="M70" s="96" t="e">
        <f t="shared" si="6"/>
        <v>#REF!</v>
      </c>
      <c r="N70" s="96" t="e">
        <f t="shared" si="6"/>
        <v>#REF!</v>
      </c>
      <c r="O70" s="96" t="e">
        <f t="shared" si="6"/>
        <v>#REF!</v>
      </c>
      <c r="P70" s="96" t="e">
        <f t="shared" si="6"/>
        <v>#REF!</v>
      </c>
      <c r="Q70" s="96" t="e">
        <f t="shared" si="6"/>
        <v>#REF!</v>
      </c>
      <c r="R70" s="96" t="e">
        <f t="shared" si="6"/>
        <v>#REF!</v>
      </c>
      <c r="S70" s="96" t="e">
        <f t="shared" si="6"/>
        <v>#REF!</v>
      </c>
      <c r="T70" s="96" t="e">
        <f t="shared" si="6"/>
        <v>#REF!</v>
      </c>
      <c r="U70" s="96" t="e">
        <f t="shared" si="6"/>
        <v>#REF!</v>
      </c>
      <c r="V70" s="96" t="e">
        <f t="shared" si="6"/>
        <v>#REF!</v>
      </c>
    </row>
    <row r="71" spans="1:22" x14ac:dyDescent="0.25">
      <c r="C71" s="96"/>
      <c r="D71" s="96"/>
      <c r="E71" s="96"/>
      <c r="F71" s="96"/>
      <c r="G71" s="96"/>
      <c r="H71" s="96"/>
      <c r="I71" s="96"/>
      <c r="J71" s="96"/>
      <c r="K71" s="96"/>
      <c r="L71" s="97"/>
      <c r="M71" s="96"/>
      <c r="N71" s="96"/>
      <c r="O71" s="96"/>
      <c r="P71" s="96"/>
      <c r="Q71" s="96"/>
      <c r="R71" s="96"/>
      <c r="S71" s="96"/>
      <c r="T71" s="96"/>
      <c r="U71" s="96"/>
      <c r="V71" s="96"/>
    </row>
    <row r="72" spans="1:22" ht="14.4" thickBot="1" x14ac:dyDescent="0.3">
      <c r="B72" s="2" t="s">
        <v>7</v>
      </c>
    </row>
    <row r="73" spans="1:22" x14ac:dyDescent="0.25">
      <c r="B73" s="57" t="s">
        <v>82</v>
      </c>
      <c r="C73" s="77">
        <v>2021</v>
      </c>
      <c r="D73" s="77">
        <v>2022</v>
      </c>
      <c r="E73" s="77">
        <v>2023</v>
      </c>
      <c r="F73" s="77">
        <v>2024</v>
      </c>
      <c r="G73" s="77">
        <v>2025</v>
      </c>
      <c r="H73" s="77">
        <v>2026</v>
      </c>
      <c r="I73" s="77">
        <v>2027</v>
      </c>
      <c r="J73" s="77">
        <v>2028</v>
      </c>
      <c r="K73" s="77">
        <v>2029</v>
      </c>
      <c r="L73" s="77">
        <v>2030</v>
      </c>
      <c r="M73" s="77">
        <v>2031</v>
      </c>
      <c r="N73" s="77">
        <v>2032</v>
      </c>
      <c r="O73" s="77">
        <v>2033</v>
      </c>
      <c r="P73" s="77">
        <v>2034</v>
      </c>
      <c r="Q73" s="77">
        <v>2035</v>
      </c>
      <c r="R73" s="77">
        <v>2036</v>
      </c>
      <c r="S73" s="77">
        <v>2037</v>
      </c>
      <c r="T73" s="77">
        <v>2038</v>
      </c>
      <c r="U73" s="77">
        <v>2039</v>
      </c>
      <c r="V73" s="77">
        <v>2040</v>
      </c>
    </row>
    <row r="74" spans="1:22" x14ac:dyDescent="0.25">
      <c r="B74" s="36" t="s">
        <v>95</v>
      </c>
      <c r="C74" s="91">
        <f>SUM(C2:C48)</f>
        <v>42</v>
      </c>
      <c r="D74" s="91">
        <f t="shared" ref="D74:V74" si="7">SUM(D2:D48)</f>
        <v>38</v>
      </c>
      <c r="E74" s="91">
        <f t="shared" si="7"/>
        <v>32</v>
      </c>
      <c r="F74" s="91">
        <f t="shared" si="7"/>
        <v>29</v>
      </c>
      <c r="G74" s="91">
        <f t="shared" si="7"/>
        <v>24</v>
      </c>
      <c r="H74" s="91">
        <f t="shared" si="7"/>
        <v>20</v>
      </c>
      <c r="I74" s="91">
        <f t="shared" si="7"/>
        <v>17</v>
      </c>
      <c r="J74" s="91">
        <f t="shared" si="7"/>
        <v>15</v>
      </c>
      <c r="K74" s="91">
        <f t="shared" si="7"/>
        <v>15</v>
      </c>
      <c r="L74" s="91">
        <f t="shared" si="7"/>
        <v>15</v>
      </c>
      <c r="M74" s="91">
        <f t="shared" si="7"/>
        <v>13</v>
      </c>
      <c r="N74" s="91">
        <f t="shared" si="7"/>
        <v>13</v>
      </c>
      <c r="O74" s="91">
        <f t="shared" si="7"/>
        <v>13</v>
      </c>
      <c r="P74" s="91">
        <f t="shared" si="7"/>
        <v>13</v>
      </c>
      <c r="Q74" s="91">
        <f t="shared" si="7"/>
        <v>13</v>
      </c>
      <c r="R74" s="91">
        <f t="shared" si="7"/>
        <v>13</v>
      </c>
      <c r="S74" s="91">
        <f t="shared" si="7"/>
        <v>13</v>
      </c>
      <c r="T74" s="91">
        <f t="shared" si="7"/>
        <v>13</v>
      </c>
      <c r="U74" s="91">
        <f t="shared" si="7"/>
        <v>13</v>
      </c>
      <c r="V74" s="91">
        <f t="shared" si="7"/>
        <v>13</v>
      </c>
    </row>
    <row r="75" spans="1:22" x14ac:dyDescent="0.25">
      <c r="B75" s="36" t="s">
        <v>96</v>
      </c>
      <c r="C75" s="98" t="e">
        <f>SUM(C49:C56)</f>
        <v>#REF!</v>
      </c>
      <c r="D75" s="98" t="e">
        <f t="shared" ref="D75:V75" si="8">SUM(D49:D56)</f>
        <v>#REF!</v>
      </c>
      <c r="E75" s="98" t="e">
        <f t="shared" si="8"/>
        <v>#REF!</v>
      </c>
      <c r="F75" s="98" t="e">
        <f t="shared" si="8"/>
        <v>#REF!</v>
      </c>
      <c r="G75" s="98" t="e">
        <f t="shared" si="8"/>
        <v>#REF!</v>
      </c>
      <c r="H75" s="98" t="e">
        <f t="shared" si="8"/>
        <v>#REF!</v>
      </c>
      <c r="I75" s="98" t="e">
        <f t="shared" si="8"/>
        <v>#REF!</v>
      </c>
      <c r="J75" s="98" t="e">
        <f t="shared" si="8"/>
        <v>#REF!</v>
      </c>
      <c r="K75" s="98" t="e">
        <f t="shared" si="8"/>
        <v>#REF!</v>
      </c>
      <c r="L75" s="98" t="e">
        <f t="shared" si="8"/>
        <v>#REF!</v>
      </c>
      <c r="M75" s="98" t="e">
        <f t="shared" si="8"/>
        <v>#REF!</v>
      </c>
      <c r="N75" s="98" t="e">
        <f t="shared" si="8"/>
        <v>#REF!</v>
      </c>
      <c r="O75" s="98" t="e">
        <f t="shared" si="8"/>
        <v>#REF!</v>
      </c>
      <c r="P75" s="98" t="e">
        <f t="shared" si="8"/>
        <v>#REF!</v>
      </c>
      <c r="Q75" s="98" t="e">
        <f t="shared" si="8"/>
        <v>#REF!</v>
      </c>
      <c r="R75" s="98" t="e">
        <f t="shared" si="8"/>
        <v>#REF!</v>
      </c>
      <c r="S75" s="98" t="e">
        <f t="shared" si="8"/>
        <v>#REF!</v>
      </c>
      <c r="T75" s="98" t="e">
        <f t="shared" si="8"/>
        <v>#REF!</v>
      </c>
      <c r="U75" s="98" t="e">
        <f t="shared" si="8"/>
        <v>#REF!</v>
      </c>
      <c r="V75" s="98" t="e">
        <f t="shared" si="8"/>
        <v>#REF!</v>
      </c>
    </row>
    <row r="79" spans="1:22" x14ac:dyDescent="0.25">
      <c r="A79" s="30" t="s">
        <v>16</v>
      </c>
      <c r="B79" s="30" t="s">
        <v>128</v>
      </c>
      <c r="C79" s="30">
        <v>2021</v>
      </c>
      <c r="D79" s="31">
        <v>2022</v>
      </c>
      <c r="E79" s="30">
        <v>2023</v>
      </c>
      <c r="F79" s="31">
        <v>2024</v>
      </c>
      <c r="G79" s="30">
        <v>2025</v>
      </c>
      <c r="H79" s="31">
        <v>2026</v>
      </c>
      <c r="I79" s="30">
        <v>2027</v>
      </c>
      <c r="J79" s="31">
        <v>2028</v>
      </c>
      <c r="K79" s="30">
        <v>2029</v>
      </c>
      <c r="L79" s="67">
        <v>2030</v>
      </c>
      <c r="M79" s="68">
        <v>2031</v>
      </c>
      <c r="N79" s="31">
        <v>2032</v>
      </c>
      <c r="O79" s="30">
        <v>2033</v>
      </c>
      <c r="P79" s="31">
        <v>2034</v>
      </c>
      <c r="Q79" s="30">
        <v>2035</v>
      </c>
      <c r="R79" s="31">
        <v>2036</v>
      </c>
      <c r="S79" s="30">
        <v>2037</v>
      </c>
      <c r="T79" s="31">
        <v>2038</v>
      </c>
      <c r="U79" s="30">
        <v>2039</v>
      </c>
      <c r="V79" s="31">
        <v>2040</v>
      </c>
    </row>
    <row r="80" spans="1:22" x14ac:dyDescent="0.25">
      <c r="A80" s="32" t="s">
        <v>47</v>
      </c>
      <c r="B80" s="33" t="s">
        <v>41</v>
      </c>
      <c r="C80" s="41">
        <f>C2</f>
        <v>1</v>
      </c>
      <c r="D80" s="41">
        <f t="shared" ref="D80:V80" si="9">D2</f>
        <v>1</v>
      </c>
      <c r="E80" s="41">
        <f t="shared" si="9"/>
        <v>0</v>
      </c>
      <c r="F80" s="41">
        <f t="shared" si="9"/>
        <v>0</v>
      </c>
      <c r="G80" s="41">
        <f t="shared" si="9"/>
        <v>0</v>
      </c>
      <c r="H80" s="41">
        <f t="shared" si="9"/>
        <v>0</v>
      </c>
      <c r="I80" s="41">
        <f t="shared" si="9"/>
        <v>0</v>
      </c>
      <c r="J80" s="41">
        <f t="shared" si="9"/>
        <v>0</v>
      </c>
      <c r="K80" s="41">
        <f t="shared" si="9"/>
        <v>0</v>
      </c>
      <c r="L80" s="41">
        <f t="shared" si="9"/>
        <v>0</v>
      </c>
      <c r="M80" s="41">
        <f t="shared" si="9"/>
        <v>0</v>
      </c>
      <c r="N80" s="41">
        <f t="shared" si="9"/>
        <v>0</v>
      </c>
      <c r="O80" s="41">
        <f t="shared" si="9"/>
        <v>0</v>
      </c>
      <c r="P80" s="41">
        <f t="shared" si="9"/>
        <v>0</v>
      </c>
      <c r="Q80" s="41">
        <f t="shared" si="9"/>
        <v>0</v>
      </c>
      <c r="R80" s="41">
        <f t="shared" si="9"/>
        <v>0</v>
      </c>
      <c r="S80" s="41">
        <f t="shared" si="9"/>
        <v>0</v>
      </c>
      <c r="T80" s="41">
        <f t="shared" si="9"/>
        <v>0</v>
      </c>
      <c r="U80" s="41">
        <f t="shared" si="9"/>
        <v>0</v>
      </c>
      <c r="V80" s="41">
        <f t="shared" si="9"/>
        <v>0</v>
      </c>
    </row>
    <row r="81" spans="1:22" x14ac:dyDescent="0.25">
      <c r="A81" s="32" t="s">
        <v>17</v>
      </c>
      <c r="B81" s="33" t="s">
        <v>41</v>
      </c>
      <c r="C81" s="41">
        <f t="shared" ref="C81:V81" si="10">C3</f>
        <v>1</v>
      </c>
      <c r="D81" s="41">
        <f t="shared" si="10"/>
        <v>1</v>
      </c>
      <c r="E81" s="41">
        <f t="shared" si="10"/>
        <v>1</v>
      </c>
      <c r="F81" s="41">
        <f t="shared" si="10"/>
        <v>1</v>
      </c>
      <c r="G81" s="41">
        <f t="shared" si="10"/>
        <v>0</v>
      </c>
      <c r="H81" s="41">
        <f t="shared" si="10"/>
        <v>0</v>
      </c>
      <c r="I81" s="41">
        <f t="shared" si="10"/>
        <v>0</v>
      </c>
      <c r="J81" s="41">
        <f t="shared" si="10"/>
        <v>0</v>
      </c>
      <c r="K81" s="41">
        <f t="shared" si="10"/>
        <v>0</v>
      </c>
      <c r="L81" s="41">
        <f t="shared" si="10"/>
        <v>0</v>
      </c>
      <c r="M81" s="41">
        <f t="shared" si="10"/>
        <v>0</v>
      </c>
      <c r="N81" s="41">
        <f t="shared" si="10"/>
        <v>0</v>
      </c>
      <c r="O81" s="41">
        <f t="shared" si="10"/>
        <v>0</v>
      </c>
      <c r="P81" s="41">
        <f t="shared" si="10"/>
        <v>0</v>
      </c>
      <c r="Q81" s="41">
        <f t="shared" si="10"/>
        <v>0</v>
      </c>
      <c r="R81" s="41">
        <f t="shared" si="10"/>
        <v>0</v>
      </c>
      <c r="S81" s="41">
        <f t="shared" si="10"/>
        <v>0</v>
      </c>
      <c r="T81" s="41">
        <f t="shared" si="10"/>
        <v>0</v>
      </c>
      <c r="U81" s="41">
        <f t="shared" si="10"/>
        <v>0</v>
      </c>
      <c r="V81" s="41">
        <f t="shared" si="10"/>
        <v>0</v>
      </c>
    </row>
    <row r="82" spans="1:22" x14ac:dyDescent="0.25">
      <c r="A82" s="32" t="s">
        <v>49</v>
      </c>
      <c r="B82" s="33" t="s">
        <v>41</v>
      </c>
      <c r="C82" s="41">
        <f t="shared" ref="C82:V82" si="11">C4</f>
        <v>1</v>
      </c>
      <c r="D82" s="41">
        <f t="shared" si="11"/>
        <v>1</v>
      </c>
      <c r="E82" s="41">
        <f t="shared" si="11"/>
        <v>1</v>
      </c>
      <c r="F82" s="41">
        <f t="shared" si="11"/>
        <v>1</v>
      </c>
      <c r="G82" s="41">
        <f t="shared" si="11"/>
        <v>1</v>
      </c>
      <c r="H82" s="41">
        <f t="shared" si="11"/>
        <v>1</v>
      </c>
      <c r="I82" s="41">
        <f t="shared" si="11"/>
        <v>0</v>
      </c>
      <c r="J82" s="41">
        <f t="shared" si="11"/>
        <v>0</v>
      </c>
      <c r="K82" s="41">
        <f t="shared" si="11"/>
        <v>0</v>
      </c>
      <c r="L82" s="41">
        <f t="shared" si="11"/>
        <v>0</v>
      </c>
      <c r="M82" s="41">
        <f t="shared" si="11"/>
        <v>0</v>
      </c>
      <c r="N82" s="41">
        <f t="shared" si="11"/>
        <v>0</v>
      </c>
      <c r="O82" s="41">
        <f t="shared" si="11"/>
        <v>0</v>
      </c>
      <c r="P82" s="41">
        <f t="shared" si="11"/>
        <v>0</v>
      </c>
      <c r="Q82" s="41">
        <f t="shared" si="11"/>
        <v>0</v>
      </c>
      <c r="R82" s="41">
        <f t="shared" si="11"/>
        <v>0</v>
      </c>
      <c r="S82" s="41">
        <f t="shared" si="11"/>
        <v>0</v>
      </c>
      <c r="T82" s="41">
        <f t="shared" si="11"/>
        <v>0</v>
      </c>
      <c r="U82" s="41">
        <f t="shared" si="11"/>
        <v>0</v>
      </c>
      <c r="V82" s="41">
        <f t="shared" si="11"/>
        <v>0</v>
      </c>
    </row>
    <row r="83" spans="1:22" x14ac:dyDescent="0.25">
      <c r="A83" s="32" t="s">
        <v>50</v>
      </c>
      <c r="B83" s="39" t="s">
        <v>43</v>
      </c>
      <c r="C83" s="41">
        <f t="shared" ref="C83:V83" si="12">C5</f>
        <v>1</v>
      </c>
      <c r="D83" s="41">
        <f t="shared" si="12"/>
        <v>1</v>
      </c>
      <c r="E83" s="41">
        <f t="shared" si="12"/>
        <v>1</v>
      </c>
      <c r="F83" s="41">
        <f t="shared" si="12"/>
        <v>1</v>
      </c>
      <c r="G83" s="41">
        <f t="shared" si="12"/>
        <v>1</v>
      </c>
      <c r="H83" s="41">
        <f t="shared" si="12"/>
        <v>1</v>
      </c>
      <c r="I83" s="41">
        <f t="shared" si="12"/>
        <v>1</v>
      </c>
      <c r="J83" s="41">
        <f t="shared" si="12"/>
        <v>1</v>
      </c>
      <c r="K83" s="41">
        <f t="shared" si="12"/>
        <v>1</v>
      </c>
      <c r="L83" s="41">
        <f t="shared" si="12"/>
        <v>1</v>
      </c>
      <c r="M83" s="41">
        <f t="shared" si="12"/>
        <v>1</v>
      </c>
      <c r="N83" s="41">
        <f t="shared" si="12"/>
        <v>1</v>
      </c>
      <c r="O83" s="41">
        <f t="shared" si="12"/>
        <v>1</v>
      </c>
      <c r="P83" s="41">
        <f t="shared" si="12"/>
        <v>1</v>
      </c>
      <c r="Q83" s="41">
        <f t="shared" si="12"/>
        <v>1</v>
      </c>
      <c r="R83" s="41">
        <f t="shared" si="12"/>
        <v>1</v>
      </c>
      <c r="S83" s="41">
        <f t="shared" si="12"/>
        <v>1</v>
      </c>
      <c r="T83" s="41">
        <f t="shared" si="12"/>
        <v>1</v>
      </c>
      <c r="U83" s="41">
        <f t="shared" si="12"/>
        <v>1</v>
      </c>
      <c r="V83" s="41">
        <f t="shared" si="12"/>
        <v>1</v>
      </c>
    </row>
    <row r="84" spans="1:22" x14ac:dyDescent="0.25">
      <c r="A84" s="32" t="s">
        <v>51</v>
      </c>
      <c r="B84" s="40" t="s">
        <v>42</v>
      </c>
      <c r="C84" s="41">
        <f t="shared" ref="C84:V84" si="13">C6</f>
        <v>1</v>
      </c>
      <c r="D84" s="41">
        <f t="shared" si="13"/>
        <v>1</v>
      </c>
      <c r="E84" s="41">
        <f t="shared" si="13"/>
        <v>1</v>
      </c>
      <c r="F84" s="41">
        <f t="shared" si="13"/>
        <v>1</v>
      </c>
      <c r="G84" s="41">
        <f t="shared" si="13"/>
        <v>0</v>
      </c>
      <c r="H84" s="41">
        <f t="shared" si="13"/>
        <v>0</v>
      </c>
      <c r="I84" s="41">
        <f t="shared" si="13"/>
        <v>0</v>
      </c>
      <c r="J84" s="41">
        <f t="shared" si="13"/>
        <v>0</v>
      </c>
      <c r="K84" s="41">
        <f t="shared" si="13"/>
        <v>0</v>
      </c>
      <c r="L84" s="41">
        <f t="shared" si="13"/>
        <v>0</v>
      </c>
      <c r="M84" s="41">
        <f t="shared" si="13"/>
        <v>0</v>
      </c>
      <c r="N84" s="41">
        <f t="shared" si="13"/>
        <v>0</v>
      </c>
      <c r="O84" s="41">
        <f t="shared" si="13"/>
        <v>0</v>
      </c>
      <c r="P84" s="41">
        <f t="shared" si="13"/>
        <v>0</v>
      </c>
      <c r="Q84" s="41">
        <f t="shared" si="13"/>
        <v>0</v>
      </c>
      <c r="R84" s="41">
        <f t="shared" si="13"/>
        <v>0</v>
      </c>
      <c r="S84" s="41">
        <f t="shared" si="13"/>
        <v>0</v>
      </c>
      <c r="T84" s="41">
        <f t="shared" si="13"/>
        <v>0</v>
      </c>
      <c r="U84" s="41">
        <f t="shared" si="13"/>
        <v>0</v>
      </c>
      <c r="V84" s="41">
        <f t="shared" si="13"/>
        <v>0</v>
      </c>
    </row>
    <row r="85" spans="1:22" x14ac:dyDescent="0.25">
      <c r="A85" s="32" t="s">
        <v>52</v>
      </c>
      <c r="B85" s="33" t="s">
        <v>41</v>
      </c>
      <c r="C85" s="41">
        <f t="shared" ref="C85:V85" si="14">C7</f>
        <v>1</v>
      </c>
      <c r="D85" s="41">
        <f t="shared" si="14"/>
        <v>1</v>
      </c>
      <c r="E85" s="41">
        <f t="shared" si="14"/>
        <v>1</v>
      </c>
      <c r="F85" s="41">
        <f t="shared" si="14"/>
        <v>1</v>
      </c>
      <c r="G85" s="41">
        <f t="shared" si="14"/>
        <v>1</v>
      </c>
      <c r="H85" s="41">
        <f t="shared" si="14"/>
        <v>1</v>
      </c>
      <c r="I85" s="41">
        <f t="shared" si="14"/>
        <v>0</v>
      </c>
      <c r="J85" s="41">
        <f t="shared" si="14"/>
        <v>0</v>
      </c>
      <c r="K85" s="41">
        <f t="shared" si="14"/>
        <v>0</v>
      </c>
      <c r="L85" s="41">
        <f t="shared" si="14"/>
        <v>0</v>
      </c>
      <c r="M85" s="41">
        <f t="shared" si="14"/>
        <v>0</v>
      </c>
      <c r="N85" s="41">
        <f t="shared" si="14"/>
        <v>0</v>
      </c>
      <c r="O85" s="41">
        <f t="shared" si="14"/>
        <v>0</v>
      </c>
      <c r="P85" s="41">
        <f t="shared" si="14"/>
        <v>0</v>
      </c>
      <c r="Q85" s="41">
        <f t="shared" si="14"/>
        <v>0</v>
      </c>
      <c r="R85" s="41">
        <f t="shared" si="14"/>
        <v>0</v>
      </c>
      <c r="S85" s="41">
        <f t="shared" si="14"/>
        <v>0</v>
      </c>
      <c r="T85" s="41">
        <f t="shared" si="14"/>
        <v>0</v>
      </c>
      <c r="U85" s="41">
        <f t="shared" si="14"/>
        <v>0</v>
      </c>
      <c r="V85" s="41">
        <f t="shared" si="14"/>
        <v>0</v>
      </c>
    </row>
    <row r="86" spans="1:22" x14ac:dyDescent="0.25">
      <c r="A86" s="32" t="s">
        <v>18</v>
      </c>
      <c r="B86" s="41" t="s">
        <v>48</v>
      </c>
      <c r="C86" s="41">
        <f t="shared" ref="C86:V86" si="15">C8</f>
        <v>1</v>
      </c>
      <c r="D86" s="41">
        <f t="shared" si="15"/>
        <v>1</v>
      </c>
      <c r="E86" s="41">
        <f t="shared" si="15"/>
        <v>1</v>
      </c>
      <c r="F86" s="41">
        <f t="shared" si="15"/>
        <v>1</v>
      </c>
      <c r="G86" s="41">
        <f t="shared" si="15"/>
        <v>1</v>
      </c>
      <c r="H86" s="41">
        <f t="shared" si="15"/>
        <v>1</v>
      </c>
      <c r="I86" s="41">
        <f t="shared" si="15"/>
        <v>1</v>
      </c>
      <c r="J86" s="41">
        <f t="shared" si="15"/>
        <v>1</v>
      </c>
      <c r="K86" s="41">
        <f t="shared" si="15"/>
        <v>1</v>
      </c>
      <c r="L86" s="41">
        <f t="shared" si="15"/>
        <v>1</v>
      </c>
      <c r="M86" s="41">
        <f t="shared" si="15"/>
        <v>1</v>
      </c>
      <c r="N86" s="41">
        <f t="shared" si="15"/>
        <v>1</v>
      </c>
      <c r="O86" s="41">
        <f t="shared" si="15"/>
        <v>1</v>
      </c>
      <c r="P86" s="41">
        <f t="shared" si="15"/>
        <v>1</v>
      </c>
      <c r="Q86" s="41">
        <f t="shared" si="15"/>
        <v>1</v>
      </c>
      <c r="R86" s="41">
        <f t="shared" si="15"/>
        <v>1</v>
      </c>
      <c r="S86" s="41">
        <f t="shared" si="15"/>
        <v>1</v>
      </c>
      <c r="T86" s="41">
        <f t="shared" si="15"/>
        <v>1</v>
      </c>
      <c r="U86" s="41">
        <f t="shared" si="15"/>
        <v>1</v>
      </c>
      <c r="V86" s="41">
        <f t="shared" si="15"/>
        <v>1</v>
      </c>
    </row>
    <row r="87" spans="1:22" x14ac:dyDescent="0.25">
      <c r="A87" s="32" t="s">
        <v>53</v>
      </c>
      <c r="B87" s="33" t="s">
        <v>41</v>
      </c>
      <c r="C87" s="41">
        <f t="shared" ref="C87:V87" si="16">C9</f>
        <v>0</v>
      </c>
      <c r="D87" s="41">
        <f t="shared" si="16"/>
        <v>0</v>
      </c>
      <c r="E87" s="41">
        <f t="shared" si="16"/>
        <v>0</v>
      </c>
      <c r="F87" s="41">
        <f t="shared" si="16"/>
        <v>0</v>
      </c>
      <c r="G87" s="41">
        <f t="shared" si="16"/>
        <v>0</v>
      </c>
      <c r="H87" s="41">
        <f t="shared" si="16"/>
        <v>0</v>
      </c>
      <c r="I87" s="41">
        <f t="shared" si="16"/>
        <v>0</v>
      </c>
      <c r="J87" s="41">
        <f t="shared" si="16"/>
        <v>0</v>
      </c>
      <c r="K87" s="41">
        <f t="shared" si="16"/>
        <v>0</v>
      </c>
      <c r="L87" s="41">
        <f t="shared" si="16"/>
        <v>0</v>
      </c>
      <c r="M87" s="41">
        <f t="shared" si="16"/>
        <v>0</v>
      </c>
      <c r="N87" s="41">
        <f t="shared" si="16"/>
        <v>0</v>
      </c>
      <c r="O87" s="41">
        <f t="shared" si="16"/>
        <v>0</v>
      </c>
      <c r="P87" s="41">
        <f t="shared" si="16"/>
        <v>0</v>
      </c>
      <c r="Q87" s="41">
        <f t="shared" si="16"/>
        <v>0</v>
      </c>
      <c r="R87" s="41">
        <f t="shared" si="16"/>
        <v>0</v>
      </c>
      <c r="S87" s="41">
        <f t="shared" si="16"/>
        <v>0</v>
      </c>
      <c r="T87" s="41">
        <f t="shared" si="16"/>
        <v>0</v>
      </c>
      <c r="U87" s="41">
        <f t="shared" si="16"/>
        <v>0</v>
      </c>
      <c r="V87" s="41">
        <f t="shared" si="16"/>
        <v>0</v>
      </c>
    </row>
    <row r="88" spans="1:22" x14ac:dyDescent="0.25">
      <c r="A88" s="32" t="s">
        <v>54</v>
      </c>
      <c r="B88" s="40" t="s">
        <v>43</v>
      </c>
      <c r="C88" s="41">
        <f t="shared" ref="C88:V88" si="17">C10</f>
        <v>1</v>
      </c>
      <c r="D88" s="41">
        <f t="shared" si="17"/>
        <v>1</v>
      </c>
      <c r="E88" s="41">
        <f t="shared" si="17"/>
        <v>1</v>
      </c>
      <c r="F88" s="41">
        <f t="shared" si="17"/>
        <v>1</v>
      </c>
      <c r="G88" s="41">
        <f t="shared" si="17"/>
        <v>1</v>
      </c>
      <c r="H88" s="41">
        <f t="shared" si="17"/>
        <v>1</v>
      </c>
      <c r="I88" s="41">
        <f t="shared" si="17"/>
        <v>1</v>
      </c>
      <c r="J88" s="41">
        <f t="shared" si="17"/>
        <v>1</v>
      </c>
      <c r="K88" s="41">
        <f t="shared" si="17"/>
        <v>1</v>
      </c>
      <c r="L88" s="41">
        <f t="shared" si="17"/>
        <v>1</v>
      </c>
      <c r="M88" s="41">
        <f t="shared" si="17"/>
        <v>0</v>
      </c>
      <c r="N88" s="41">
        <f t="shared" si="17"/>
        <v>0</v>
      </c>
      <c r="O88" s="41">
        <f t="shared" si="17"/>
        <v>0</v>
      </c>
      <c r="P88" s="41">
        <f t="shared" si="17"/>
        <v>0</v>
      </c>
      <c r="Q88" s="41">
        <f t="shared" si="17"/>
        <v>0</v>
      </c>
      <c r="R88" s="41">
        <f t="shared" si="17"/>
        <v>0</v>
      </c>
      <c r="S88" s="41">
        <f t="shared" si="17"/>
        <v>0</v>
      </c>
      <c r="T88" s="41">
        <f t="shared" si="17"/>
        <v>0</v>
      </c>
      <c r="U88" s="41">
        <f t="shared" si="17"/>
        <v>0</v>
      </c>
      <c r="V88" s="41">
        <f t="shared" si="17"/>
        <v>0</v>
      </c>
    </row>
    <row r="89" spans="1:22" x14ac:dyDescent="0.25">
      <c r="A89" s="32" t="s">
        <v>55</v>
      </c>
      <c r="B89" s="40" t="s">
        <v>42</v>
      </c>
      <c r="C89" s="41">
        <f t="shared" ref="C89:V89" si="18">C11</f>
        <v>1</v>
      </c>
      <c r="D89" s="41">
        <f t="shared" si="18"/>
        <v>1</v>
      </c>
      <c r="E89" s="41">
        <f t="shared" si="18"/>
        <v>1</v>
      </c>
      <c r="F89" s="41">
        <f t="shared" si="18"/>
        <v>1</v>
      </c>
      <c r="G89" s="41">
        <f t="shared" si="18"/>
        <v>1</v>
      </c>
      <c r="H89" s="41">
        <f t="shared" si="18"/>
        <v>1</v>
      </c>
      <c r="I89" s="41">
        <f t="shared" si="18"/>
        <v>1</v>
      </c>
      <c r="J89" s="41">
        <f t="shared" si="18"/>
        <v>1</v>
      </c>
      <c r="K89" s="41">
        <f t="shared" si="18"/>
        <v>1</v>
      </c>
      <c r="L89" s="41">
        <f t="shared" si="18"/>
        <v>1</v>
      </c>
      <c r="M89" s="41">
        <f t="shared" si="18"/>
        <v>1</v>
      </c>
      <c r="N89" s="41">
        <f t="shared" si="18"/>
        <v>1</v>
      </c>
      <c r="O89" s="41">
        <f t="shared" si="18"/>
        <v>1</v>
      </c>
      <c r="P89" s="41">
        <f t="shared" si="18"/>
        <v>1</v>
      </c>
      <c r="Q89" s="41">
        <f t="shared" si="18"/>
        <v>1</v>
      </c>
      <c r="R89" s="41">
        <f t="shared" si="18"/>
        <v>1</v>
      </c>
      <c r="S89" s="41">
        <f t="shared" si="18"/>
        <v>1</v>
      </c>
      <c r="T89" s="41">
        <f t="shared" si="18"/>
        <v>1</v>
      </c>
      <c r="U89" s="41">
        <f t="shared" si="18"/>
        <v>1</v>
      </c>
      <c r="V89" s="41">
        <f t="shared" si="18"/>
        <v>1</v>
      </c>
    </row>
    <row r="90" spans="1:22" x14ac:dyDescent="0.25">
      <c r="A90" s="32" t="s">
        <v>56</v>
      </c>
      <c r="B90" s="39" t="s">
        <v>43</v>
      </c>
      <c r="C90" s="41">
        <f t="shared" ref="C90:V90" si="19">C12</f>
        <v>1</v>
      </c>
      <c r="D90" s="41">
        <f t="shared" si="19"/>
        <v>1</v>
      </c>
      <c r="E90" s="41">
        <f t="shared" si="19"/>
        <v>1</v>
      </c>
      <c r="F90" s="41">
        <f t="shared" si="19"/>
        <v>1</v>
      </c>
      <c r="G90" s="41">
        <f t="shared" si="19"/>
        <v>1</v>
      </c>
      <c r="H90" s="41">
        <f t="shared" si="19"/>
        <v>1</v>
      </c>
      <c r="I90" s="41">
        <f t="shared" si="19"/>
        <v>1</v>
      </c>
      <c r="J90" s="41">
        <f t="shared" si="19"/>
        <v>1</v>
      </c>
      <c r="K90" s="41">
        <f t="shared" si="19"/>
        <v>1</v>
      </c>
      <c r="L90" s="41">
        <f t="shared" si="19"/>
        <v>1</v>
      </c>
      <c r="M90" s="41">
        <f t="shared" si="19"/>
        <v>1</v>
      </c>
      <c r="N90" s="41">
        <f t="shared" si="19"/>
        <v>1</v>
      </c>
      <c r="O90" s="41">
        <f t="shared" si="19"/>
        <v>1</v>
      </c>
      <c r="P90" s="41">
        <f t="shared" si="19"/>
        <v>1</v>
      </c>
      <c r="Q90" s="41">
        <f t="shared" si="19"/>
        <v>1</v>
      </c>
      <c r="R90" s="41">
        <f t="shared" si="19"/>
        <v>1</v>
      </c>
      <c r="S90" s="41">
        <f t="shared" si="19"/>
        <v>1</v>
      </c>
      <c r="T90" s="41">
        <f t="shared" si="19"/>
        <v>1</v>
      </c>
      <c r="U90" s="41">
        <f t="shared" si="19"/>
        <v>1</v>
      </c>
      <c r="V90" s="41">
        <f t="shared" si="19"/>
        <v>1</v>
      </c>
    </row>
    <row r="91" spans="1:22" x14ac:dyDescent="0.25">
      <c r="A91" s="32" t="s">
        <v>66</v>
      </c>
      <c r="B91" s="41" t="s">
        <v>48</v>
      </c>
      <c r="C91" s="41">
        <f t="shared" ref="C91:V91" si="20">C13</f>
        <v>1</v>
      </c>
      <c r="D91" s="41">
        <f t="shared" si="20"/>
        <v>1</v>
      </c>
      <c r="E91" s="41">
        <f t="shared" si="20"/>
        <v>1</v>
      </c>
      <c r="F91" s="41">
        <f t="shared" si="20"/>
        <v>0</v>
      </c>
      <c r="G91" s="41">
        <f t="shared" si="20"/>
        <v>0</v>
      </c>
      <c r="H91" s="41">
        <f t="shared" si="20"/>
        <v>0</v>
      </c>
      <c r="I91" s="41">
        <f t="shared" si="20"/>
        <v>0</v>
      </c>
      <c r="J91" s="41">
        <f t="shared" si="20"/>
        <v>0</v>
      </c>
      <c r="K91" s="41">
        <f t="shared" si="20"/>
        <v>0</v>
      </c>
      <c r="L91" s="41">
        <f t="shared" si="20"/>
        <v>0</v>
      </c>
      <c r="M91" s="41">
        <f t="shared" si="20"/>
        <v>0</v>
      </c>
      <c r="N91" s="41">
        <f t="shared" si="20"/>
        <v>0</v>
      </c>
      <c r="O91" s="41">
        <f t="shared" si="20"/>
        <v>0</v>
      </c>
      <c r="P91" s="41">
        <f t="shared" si="20"/>
        <v>0</v>
      </c>
      <c r="Q91" s="41">
        <f t="shared" si="20"/>
        <v>0</v>
      </c>
      <c r="R91" s="41">
        <f t="shared" si="20"/>
        <v>0</v>
      </c>
      <c r="S91" s="41">
        <f t="shared" si="20"/>
        <v>0</v>
      </c>
      <c r="T91" s="41">
        <f t="shared" si="20"/>
        <v>0</v>
      </c>
      <c r="U91" s="41">
        <f t="shared" si="20"/>
        <v>0</v>
      </c>
      <c r="V91" s="41">
        <f t="shared" si="20"/>
        <v>0</v>
      </c>
    </row>
    <row r="92" spans="1:22" x14ac:dyDescent="0.25">
      <c r="A92" s="32" t="s">
        <v>19</v>
      </c>
      <c r="B92" s="33" t="s">
        <v>41</v>
      </c>
      <c r="C92" s="41">
        <f t="shared" ref="C92:V92" si="21">C14</f>
        <v>1</v>
      </c>
      <c r="D92" s="41">
        <f t="shared" si="21"/>
        <v>1</v>
      </c>
      <c r="E92" s="41">
        <f t="shared" si="21"/>
        <v>1</v>
      </c>
      <c r="F92" s="41">
        <f t="shared" si="21"/>
        <v>1</v>
      </c>
      <c r="G92" s="41">
        <f t="shared" si="21"/>
        <v>1</v>
      </c>
      <c r="H92" s="41">
        <f t="shared" si="21"/>
        <v>1</v>
      </c>
      <c r="I92" s="41">
        <f t="shared" si="21"/>
        <v>1</v>
      </c>
      <c r="J92" s="41">
        <f t="shared" si="21"/>
        <v>0</v>
      </c>
      <c r="K92" s="41">
        <f t="shared" si="21"/>
        <v>0</v>
      </c>
      <c r="L92" s="41">
        <f t="shared" si="21"/>
        <v>0</v>
      </c>
      <c r="M92" s="41">
        <f t="shared" si="21"/>
        <v>0</v>
      </c>
      <c r="N92" s="41">
        <f t="shared" si="21"/>
        <v>0</v>
      </c>
      <c r="O92" s="41">
        <f t="shared" si="21"/>
        <v>0</v>
      </c>
      <c r="P92" s="41">
        <f t="shared" si="21"/>
        <v>0</v>
      </c>
      <c r="Q92" s="41">
        <f t="shared" si="21"/>
        <v>0</v>
      </c>
      <c r="R92" s="41">
        <f t="shared" si="21"/>
        <v>0</v>
      </c>
      <c r="S92" s="41">
        <f t="shared" si="21"/>
        <v>0</v>
      </c>
      <c r="T92" s="41">
        <f t="shared" si="21"/>
        <v>0</v>
      </c>
      <c r="U92" s="41">
        <f t="shared" si="21"/>
        <v>0</v>
      </c>
      <c r="V92" s="41">
        <f t="shared" si="21"/>
        <v>0</v>
      </c>
    </row>
    <row r="93" spans="1:22" x14ac:dyDescent="0.25">
      <c r="A93" s="44" t="s">
        <v>67</v>
      </c>
      <c r="B93" s="33" t="s">
        <v>40</v>
      </c>
      <c r="C93" s="41">
        <f t="shared" ref="C93:V93" si="22">C15</f>
        <v>1</v>
      </c>
      <c r="D93" s="41">
        <f t="shared" si="22"/>
        <v>1</v>
      </c>
      <c r="E93" s="41">
        <f t="shared" si="22"/>
        <v>1</v>
      </c>
      <c r="F93" s="41">
        <f t="shared" si="22"/>
        <v>1</v>
      </c>
      <c r="G93" s="41">
        <f t="shared" si="22"/>
        <v>1</v>
      </c>
      <c r="H93" s="41">
        <f t="shared" si="22"/>
        <v>1</v>
      </c>
      <c r="I93" s="41">
        <f t="shared" si="22"/>
        <v>1</v>
      </c>
      <c r="J93" s="41">
        <f t="shared" si="22"/>
        <v>1</v>
      </c>
      <c r="K93" s="41">
        <f t="shared" si="22"/>
        <v>1</v>
      </c>
      <c r="L93" s="41">
        <f t="shared" si="22"/>
        <v>1</v>
      </c>
      <c r="M93" s="41">
        <f t="shared" si="22"/>
        <v>1</v>
      </c>
      <c r="N93" s="41">
        <f t="shared" si="22"/>
        <v>1</v>
      </c>
      <c r="O93" s="41">
        <f t="shared" si="22"/>
        <v>1</v>
      </c>
      <c r="P93" s="41">
        <f t="shared" si="22"/>
        <v>1</v>
      </c>
      <c r="Q93" s="41">
        <f t="shared" si="22"/>
        <v>1</v>
      </c>
      <c r="R93" s="41">
        <f t="shared" si="22"/>
        <v>1</v>
      </c>
      <c r="S93" s="41">
        <f t="shared" si="22"/>
        <v>1</v>
      </c>
      <c r="T93" s="41">
        <f t="shared" si="22"/>
        <v>1</v>
      </c>
      <c r="U93" s="41">
        <f t="shared" si="22"/>
        <v>1</v>
      </c>
      <c r="V93" s="41">
        <f t="shared" si="22"/>
        <v>1</v>
      </c>
    </row>
    <row r="94" spans="1:22" x14ac:dyDescent="0.25">
      <c r="A94" s="44" t="s">
        <v>68</v>
      </c>
      <c r="B94" s="33" t="s">
        <v>40</v>
      </c>
      <c r="C94" s="41">
        <f t="shared" ref="C94:V94" si="23">C16</f>
        <v>1</v>
      </c>
      <c r="D94" s="41">
        <f t="shared" si="23"/>
        <v>1</v>
      </c>
      <c r="E94" s="41">
        <f t="shared" si="23"/>
        <v>1</v>
      </c>
      <c r="F94" s="41">
        <f t="shared" si="23"/>
        <v>1</v>
      </c>
      <c r="G94" s="41">
        <f t="shared" si="23"/>
        <v>1</v>
      </c>
      <c r="H94" s="41">
        <f t="shared" si="23"/>
        <v>1</v>
      </c>
      <c r="I94" s="41">
        <f t="shared" si="23"/>
        <v>1</v>
      </c>
      <c r="J94" s="41">
        <f t="shared" si="23"/>
        <v>1</v>
      </c>
      <c r="K94" s="41">
        <f t="shared" si="23"/>
        <v>1</v>
      </c>
      <c r="L94" s="41">
        <f t="shared" si="23"/>
        <v>1</v>
      </c>
      <c r="M94" s="41">
        <f t="shared" si="23"/>
        <v>1</v>
      </c>
      <c r="N94" s="41">
        <f t="shared" si="23"/>
        <v>1</v>
      </c>
      <c r="O94" s="41">
        <f t="shared" si="23"/>
        <v>1</v>
      </c>
      <c r="P94" s="41">
        <f t="shared" si="23"/>
        <v>1</v>
      </c>
      <c r="Q94" s="41">
        <f t="shared" si="23"/>
        <v>1</v>
      </c>
      <c r="R94" s="41">
        <f t="shared" si="23"/>
        <v>1</v>
      </c>
      <c r="S94" s="41">
        <f t="shared" si="23"/>
        <v>1</v>
      </c>
      <c r="T94" s="41">
        <f t="shared" si="23"/>
        <v>1</v>
      </c>
      <c r="U94" s="41">
        <f t="shared" si="23"/>
        <v>1</v>
      </c>
      <c r="V94" s="41">
        <f t="shared" si="23"/>
        <v>1</v>
      </c>
    </row>
    <row r="95" spans="1:22" x14ac:dyDescent="0.25">
      <c r="A95" s="44" t="s">
        <v>69</v>
      </c>
      <c r="B95" s="33" t="s">
        <v>40</v>
      </c>
      <c r="C95" s="41">
        <f t="shared" ref="C95:V95" si="24">C17</f>
        <v>1</v>
      </c>
      <c r="D95" s="41">
        <f t="shared" si="24"/>
        <v>1</v>
      </c>
      <c r="E95" s="41">
        <f t="shared" si="24"/>
        <v>1</v>
      </c>
      <c r="F95" s="41">
        <f t="shared" si="24"/>
        <v>1</v>
      </c>
      <c r="G95" s="41">
        <f t="shared" si="24"/>
        <v>1</v>
      </c>
      <c r="H95" s="41">
        <f t="shared" si="24"/>
        <v>1</v>
      </c>
      <c r="I95" s="41">
        <f t="shared" si="24"/>
        <v>1</v>
      </c>
      <c r="J95" s="41">
        <f t="shared" si="24"/>
        <v>1</v>
      </c>
      <c r="K95" s="41">
        <f t="shared" si="24"/>
        <v>1</v>
      </c>
      <c r="L95" s="41">
        <f t="shared" si="24"/>
        <v>1</v>
      </c>
      <c r="M95" s="41">
        <f t="shared" si="24"/>
        <v>1</v>
      </c>
      <c r="N95" s="41">
        <f t="shared" si="24"/>
        <v>1</v>
      </c>
      <c r="O95" s="41">
        <f t="shared" si="24"/>
        <v>1</v>
      </c>
      <c r="P95" s="41">
        <f t="shared" si="24"/>
        <v>1</v>
      </c>
      <c r="Q95" s="41">
        <f t="shared" si="24"/>
        <v>1</v>
      </c>
      <c r="R95" s="41">
        <f t="shared" si="24"/>
        <v>1</v>
      </c>
      <c r="S95" s="41">
        <f t="shared" si="24"/>
        <v>1</v>
      </c>
      <c r="T95" s="41">
        <f t="shared" si="24"/>
        <v>1</v>
      </c>
      <c r="U95" s="41">
        <f t="shared" si="24"/>
        <v>1</v>
      </c>
      <c r="V95" s="41">
        <f t="shared" si="24"/>
        <v>1</v>
      </c>
    </row>
    <row r="96" spans="1:22" x14ac:dyDescent="0.25">
      <c r="A96" s="44" t="s">
        <v>70</v>
      </c>
      <c r="B96" s="33" t="s">
        <v>40</v>
      </c>
      <c r="C96" s="41">
        <f t="shared" ref="C96:V96" si="25">C18</f>
        <v>1</v>
      </c>
      <c r="D96" s="41">
        <f t="shared" si="25"/>
        <v>1</v>
      </c>
      <c r="E96" s="41">
        <f t="shared" si="25"/>
        <v>1</v>
      </c>
      <c r="F96" s="41">
        <f t="shared" si="25"/>
        <v>1</v>
      </c>
      <c r="G96" s="41">
        <f t="shared" si="25"/>
        <v>1</v>
      </c>
      <c r="H96" s="41">
        <f t="shared" si="25"/>
        <v>1</v>
      </c>
      <c r="I96" s="41">
        <f t="shared" si="25"/>
        <v>1</v>
      </c>
      <c r="J96" s="41">
        <f t="shared" si="25"/>
        <v>1</v>
      </c>
      <c r="K96" s="41">
        <f t="shared" si="25"/>
        <v>1</v>
      </c>
      <c r="L96" s="41">
        <f t="shared" si="25"/>
        <v>1</v>
      </c>
      <c r="M96" s="41">
        <f t="shared" si="25"/>
        <v>1</v>
      </c>
      <c r="N96" s="41">
        <f t="shared" si="25"/>
        <v>1</v>
      </c>
      <c r="O96" s="41">
        <f t="shared" si="25"/>
        <v>1</v>
      </c>
      <c r="P96" s="41">
        <f t="shared" si="25"/>
        <v>1</v>
      </c>
      <c r="Q96" s="41">
        <f t="shared" si="25"/>
        <v>1</v>
      </c>
      <c r="R96" s="41">
        <f t="shared" si="25"/>
        <v>1</v>
      </c>
      <c r="S96" s="41">
        <f t="shared" si="25"/>
        <v>1</v>
      </c>
      <c r="T96" s="41">
        <f t="shared" si="25"/>
        <v>1</v>
      </c>
      <c r="U96" s="41">
        <f t="shared" si="25"/>
        <v>1</v>
      </c>
      <c r="V96" s="41">
        <f t="shared" si="25"/>
        <v>1</v>
      </c>
    </row>
    <row r="97" spans="1:22" x14ac:dyDescent="0.25">
      <c r="A97" s="32" t="s">
        <v>20</v>
      </c>
      <c r="B97" s="33" t="s">
        <v>41</v>
      </c>
      <c r="C97" s="41">
        <f t="shared" ref="C97:V97" si="26">C19</f>
        <v>1</v>
      </c>
      <c r="D97" s="41">
        <f t="shared" si="26"/>
        <v>1</v>
      </c>
      <c r="E97" s="41">
        <f t="shared" si="26"/>
        <v>1</v>
      </c>
      <c r="F97" s="41">
        <f t="shared" si="26"/>
        <v>1</v>
      </c>
      <c r="G97" s="41">
        <f t="shared" si="26"/>
        <v>1</v>
      </c>
      <c r="H97" s="41">
        <f t="shared" si="26"/>
        <v>1</v>
      </c>
      <c r="I97" s="41">
        <f t="shared" si="26"/>
        <v>1</v>
      </c>
      <c r="J97" s="41">
        <f t="shared" si="26"/>
        <v>1</v>
      </c>
      <c r="K97" s="41">
        <f t="shared" si="26"/>
        <v>1</v>
      </c>
      <c r="L97" s="41">
        <f t="shared" si="26"/>
        <v>1</v>
      </c>
      <c r="M97" s="41">
        <f t="shared" si="26"/>
        <v>1</v>
      </c>
      <c r="N97" s="41">
        <f t="shared" si="26"/>
        <v>1</v>
      </c>
      <c r="O97" s="41">
        <f t="shared" si="26"/>
        <v>1</v>
      </c>
      <c r="P97" s="41">
        <f t="shared" si="26"/>
        <v>1</v>
      </c>
      <c r="Q97" s="41">
        <f t="shared" si="26"/>
        <v>1</v>
      </c>
      <c r="R97" s="41">
        <f t="shared" si="26"/>
        <v>1</v>
      </c>
      <c r="S97" s="41">
        <f t="shared" si="26"/>
        <v>1</v>
      </c>
      <c r="T97" s="41">
        <f t="shared" si="26"/>
        <v>1</v>
      </c>
      <c r="U97" s="41">
        <f t="shared" si="26"/>
        <v>1</v>
      </c>
      <c r="V97" s="41">
        <f t="shared" si="26"/>
        <v>1</v>
      </c>
    </row>
    <row r="98" spans="1:22" x14ac:dyDescent="0.25">
      <c r="A98" s="32" t="s">
        <v>21</v>
      </c>
      <c r="B98" s="33" t="s">
        <v>41</v>
      </c>
      <c r="C98" s="41">
        <f t="shared" ref="C98:V98" si="27">C20</f>
        <v>1</v>
      </c>
      <c r="D98" s="41">
        <f t="shared" si="27"/>
        <v>1</v>
      </c>
      <c r="E98" s="41">
        <f t="shared" si="27"/>
        <v>1</v>
      </c>
      <c r="F98" s="41">
        <f t="shared" si="27"/>
        <v>1</v>
      </c>
      <c r="G98" s="41">
        <f t="shared" si="27"/>
        <v>1</v>
      </c>
      <c r="H98" s="41">
        <f t="shared" si="27"/>
        <v>0</v>
      </c>
      <c r="I98" s="41">
        <f t="shared" si="27"/>
        <v>0</v>
      </c>
      <c r="J98" s="41">
        <f t="shared" si="27"/>
        <v>0</v>
      </c>
      <c r="K98" s="41">
        <f t="shared" si="27"/>
        <v>0</v>
      </c>
      <c r="L98" s="41">
        <f t="shared" si="27"/>
        <v>0</v>
      </c>
      <c r="M98" s="41">
        <f t="shared" si="27"/>
        <v>0</v>
      </c>
      <c r="N98" s="41">
        <f t="shared" si="27"/>
        <v>0</v>
      </c>
      <c r="O98" s="41">
        <f t="shared" si="27"/>
        <v>0</v>
      </c>
      <c r="P98" s="41">
        <f t="shared" si="27"/>
        <v>0</v>
      </c>
      <c r="Q98" s="41">
        <f t="shared" si="27"/>
        <v>0</v>
      </c>
      <c r="R98" s="41">
        <f t="shared" si="27"/>
        <v>0</v>
      </c>
      <c r="S98" s="41">
        <f t="shared" si="27"/>
        <v>0</v>
      </c>
      <c r="T98" s="41">
        <f t="shared" si="27"/>
        <v>0</v>
      </c>
      <c r="U98" s="41">
        <f t="shared" si="27"/>
        <v>0</v>
      </c>
      <c r="V98" s="41">
        <f t="shared" si="27"/>
        <v>0</v>
      </c>
    </row>
    <row r="99" spans="1:22" x14ac:dyDescent="0.25">
      <c r="A99" s="32" t="s">
        <v>24</v>
      </c>
      <c r="B99" s="45" t="s">
        <v>42</v>
      </c>
      <c r="C99" s="41">
        <f t="shared" ref="C99:V99" si="28">C21</f>
        <v>0</v>
      </c>
      <c r="D99" s="41">
        <f t="shared" si="28"/>
        <v>0</v>
      </c>
      <c r="E99" s="41">
        <f t="shared" si="28"/>
        <v>0</v>
      </c>
      <c r="F99" s="41">
        <f t="shared" si="28"/>
        <v>0</v>
      </c>
      <c r="G99" s="41">
        <f t="shared" si="28"/>
        <v>0</v>
      </c>
      <c r="H99" s="41">
        <f t="shared" si="28"/>
        <v>0</v>
      </c>
      <c r="I99" s="41">
        <f t="shared" si="28"/>
        <v>0</v>
      </c>
      <c r="J99" s="41">
        <f t="shared" si="28"/>
        <v>0</v>
      </c>
      <c r="K99" s="41">
        <f t="shared" si="28"/>
        <v>0</v>
      </c>
      <c r="L99" s="41">
        <f t="shared" si="28"/>
        <v>0</v>
      </c>
      <c r="M99" s="41">
        <f t="shared" si="28"/>
        <v>0</v>
      </c>
      <c r="N99" s="41">
        <f t="shared" si="28"/>
        <v>0</v>
      </c>
      <c r="O99" s="41">
        <f t="shared" si="28"/>
        <v>0</v>
      </c>
      <c r="P99" s="41">
        <f t="shared" si="28"/>
        <v>0</v>
      </c>
      <c r="Q99" s="41">
        <f t="shared" si="28"/>
        <v>0</v>
      </c>
      <c r="R99" s="41">
        <f t="shared" si="28"/>
        <v>0</v>
      </c>
      <c r="S99" s="41">
        <f t="shared" si="28"/>
        <v>0</v>
      </c>
      <c r="T99" s="41">
        <f t="shared" si="28"/>
        <v>0</v>
      </c>
      <c r="U99" s="41">
        <f t="shared" si="28"/>
        <v>0</v>
      </c>
      <c r="V99" s="41">
        <f t="shared" si="28"/>
        <v>0</v>
      </c>
    </row>
    <row r="100" spans="1:22" x14ac:dyDescent="0.25">
      <c r="A100" s="32" t="s">
        <v>57</v>
      </c>
      <c r="B100" s="33" t="s">
        <v>41</v>
      </c>
      <c r="C100" s="41">
        <f t="shared" ref="C100:V100" si="29">C22</f>
        <v>1</v>
      </c>
      <c r="D100" s="41">
        <f t="shared" si="29"/>
        <v>1</v>
      </c>
      <c r="E100" s="41">
        <f t="shared" si="29"/>
        <v>1</v>
      </c>
      <c r="F100" s="41">
        <f t="shared" si="29"/>
        <v>1</v>
      </c>
      <c r="G100" s="41">
        <f t="shared" si="29"/>
        <v>1</v>
      </c>
      <c r="H100" s="41">
        <f t="shared" si="29"/>
        <v>0</v>
      </c>
      <c r="I100" s="41">
        <f t="shared" si="29"/>
        <v>0</v>
      </c>
      <c r="J100" s="41">
        <f t="shared" si="29"/>
        <v>0</v>
      </c>
      <c r="K100" s="41">
        <f t="shared" si="29"/>
        <v>0</v>
      </c>
      <c r="L100" s="41">
        <f t="shared" si="29"/>
        <v>0</v>
      </c>
      <c r="M100" s="41">
        <f t="shared" si="29"/>
        <v>0</v>
      </c>
      <c r="N100" s="41">
        <f t="shared" si="29"/>
        <v>0</v>
      </c>
      <c r="O100" s="41">
        <f t="shared" si="29"/>
        <v>0</v>
      </c>
      <c r="P100" s="41">
        <f t="shared" si="29"/>
        <v>0</v>
      </c>
      <c r="Q100" s="41">
        <f t="shared" si="29"/>
        <v>0</v>
      </c>
      <c r="R100" s="41">
        <f t="shared" si="29"/>
        <v>0</v>
      </c>
      <c r="S100" s="41">
        <f t="shared" si="29"/>
        <v>0</v>
      </c>
      <c r="T100" s="41">
        <f t="shared" si="29"/>
        <v>0</v>
      </c>
      <c r="U100" s="41">
        <f t="shared" si="29"/>
        <v>0</v>
      </c>
      <c r="V100" s="41">
        <f t="shared" si="29"/>
        <v>0</v>
      </c>
    </row>
    <row r="101" spans="1:22" x14ac:dyDescent="0.25">
      <c r="A101" s="32" t="s">
        <v>22</v>
      </c>
      <c r="B101" s="33" t="s">
        <v>41</v>
      </c>
      <c r="C101" s="41">
        <f t="shared" ref="C101:V101" si="30">C23</f>
        <v>1</v>
      </c>
      <c r="D101" s="41">
        <f t="shared" si="30"/>
        <v>1</v>
      </c>
      <c r="E101" s="41">
        <f t="shared" si="30"/>
        <v>1</v>
      </c>
      <c r="F101" s="41">
        <f t="shared" si="30"/>
        <v>1</v>
      </c>
      <c r="G101" s="41">
        <f t="shared" si="30"/>
        <v>0</v>
      </c>
      <c r="H101" s="41">
        <f t="shared" si="30"/>
        <v>0</v>
      </c>
      <c r="I101" s="41">
        <f t="shared" si="30"/>
        <v>0</v>
      </c>
      <c r="J101" s="41">
        <f t="shared" si="30"/>
        <v>0</v>
      </c>
      <c r="K101" s="41">
        <f t="shared" si="30"/>
        <v>0</v>
      </c>
      <c r="L101" s="41">
        <f t="shared" si="30"/>
        <v>0</v>
      </c>
      <c r="M101" s="41">
        <f t="shared" si="30"/>
        <v>0</v>
      </c>
      <c r="N101" s="41">
        <f t="shared" si="30"/>
        <v>0</v>
      </c>
      <c r="O101" s="41">
        <f t="shared" si="30"/>
        <v>0</v>
      </c>
      <c r="P101" s="41">
        <f t="shared" si="30"/>
        <v>0</v>
      </c>
      <c r="Q101" s="41">
        <f t="shared" si="30"/>
        <v>0</v>
      </c>
      <c r="R101" s="41">
        <f t="shared" si="30"/>
        <v>0</v>
      </c>
      <c r="S101" s="41">
        <f t="shared" si="30"/>
        <v>0</v>
      </c>
      <c r="T101" s="41">
        <f t="shared" si="30"/>
        <v>0</v>
      </c>
      <c r="U101" s="41">
        <f t="shared" si="30"/>
        <v>0</v>
      </c>
      <c r="V101" s="41">
        <f t="shared" si="30"/>
        <v>0</v>
      </c>
    </row>
    <row r="102" spans="1:22" x14ac:dyDescent="0.25">
      <c r="A102" s="32" t="s">
        <v>23</v>
      </c>
      <c r="B102" s="40" t="s">
        <v>43</v>
      </c>
      <c r="C102" s="41">
        <f t="shared" ref="C102:V102" si="31">C24</f>
        <v>1</v>
      </c>
      <c r="D102" s="41">
        <f t="shared" si="31"/>
        <v>1</v>
      </c>
      <c r="E102" s="41">
        <f t="shared" si="31"/>
        <v>1</v>
      </c>
      <c r="F102" s="41">
        <f t="shared" si="31"/>
        <v>1</v>
      </c>
      <c r="G102" s="41">
        <f t="shared" si="31"/>
        <v>1</v>
      </c>
      <c r="H102" s="41">
        <f t="shared" si="31"/>
        <v>1</v>
      </c>
      <c r="I102" s="41">
        <f t="shared" si="31"/>
        <v>1</v>
      </c>
      <c r="J102" s="41">
        <f t="shared" si="31"/>
        <v>1</v>
      </c>
      <c r="K102" s="41">
        <f t="shared" si="31"/>
        <v>1</v>
      </c>
      <c r="L102" s="41">
        <f t="shared" si="31"/>
        <v>1</v>
      </c>
      <c r="M102" s="41">
        <f t="shared" si="31"/>
        <v>0</v>
      </c>
      <c r="N102" s="41">
        <f t="shared" si="31"/>
        <v>0</v>
      </c>
      <c r="O102" s="41">
        <f t="shared" si="31"/>
        <v>0</v>
      </c>
      <c r="P102" s="41">
        <f t="shared" si="31"/>
        <v>0</v>
      </c>
      <c r="Q102" s="41">
        <f t="shared" si="31"/>
        <v>0</v>
      </c>
      <c r="R102" s="41">
        <f t="shared" si="31"/>
        <v>0</v>
      </c>
      <c r="S102" s="41">
        <f t="shared" si="31"/>
        <v>0</v>
      </c>
      <c r="T102" s="41">
        <f t="shared" si="31"/>
        <v>0</v>
      </c>
      <c r="U102" s="41">
        <f t="shared" si="31"/>
        <v>0</v>
      </c>
      <c r="V102" s="41">
        <f t="shared" si="31"/>
        <v>0</v>
      </c>
    </row>
    <row r="103" spans="1:22" x14ac:dyDescent="0.25">
      <c r="A103" s="32" t="s">
        <v>25</v>
      </c>
      <c r="B103" s="33" t="s">
        <v>44</v>
      </c>
      <c r="C103" s="41">
        <f t="shared" ref="C103:V103" si="32">C25</f>
        <v>1</v>
      </c>
      <c r="D103" s="41">
        <f t="shared" si="32"/>
        <v>1</v>
      </c>
      <c r="E103" s="41">
        <f t="shared" si="32"/>
        <v>1</v>
      </c>
      <c r="F103" s="41">
        <f t="shared" si="32"/>
        <v>1</v>
      </c>
      <c r="G103" s="41">
        <f t="shared" si="32"/>
        <v>0</v>
      </c>
      <c r="H103" s="41">
        <f t="shared" si="32"/>
        <v>0</v>
      </c>
      <c r="I103" s="41">
        <f t="shared" si="32"/>
        <v>0</v>
      </c>
      <c r="J103" s="41">
        <f t="shared" si="32"/>
        <v>0</v>
      </c>
      <c r="K103" s="41">
        <f t="shared" si="32"/>
        <v>0</v>
      </c>
      <c r="L103" s="41">
        <f t="shared" si="32"/>
        <v>0</v>
      </c>
      <c r="M103" s="41">
        <f t="shared" si="32"/>
        <v>0</v>
      </c>
      <c r="N103" s="41">
        <f t="shared" si="32"/>
        <v>0</v>
      </c>
      <c r="O103" s="41">
        <f t="shared" si="32"/>
        <v>0</v>
      </c>
      <c r="P103" s="41">
        <f t="shared" si="32"/>
        <v>0</v>
      </c>
      <c r="Q103" s="41">
        <f t="shared" si="32"/>
        <v>0</v>
      </c>
      <c r="R103" s="41">
        <f t="shared" si="32"/>
        <v>0</v>
      </c>
      <c r="S103" s="41">
        <f t="shared" si="32"/>
        <v>0</v>
      </c>
      <c r="T103" s="41">
        <f t="shared" si="32"/>
        <v>0</v>
      </c>
      <c r="U103" s="41">
        <f t="shared" si="32"/>
        <v>0</v>
      </c>
      <c r="V103" s="41">
        <f t="shared" si="32"/>
        <v>0</v>
      </c>
    </row>
    <row r="104" spans="1:22" x14ac:dyDescent="0.25">
      <c r="A104" s="32" t="s">
        <v>58</v>
      </c>
      <c r="B104" s="33" t="s">
        <v>41</v>
      </c>
      <c r="C104" s="41">
        <f t="shared" ref="C104:V104" si="33">C26</f>
        <v>1</v>
      </c>
      <c r="D104" s="41">
        <f t="shared" si="33"/>
        <v>0</v>
      </c>
      <c r="E104" s="41">
        <f t="shared" si="33"/>
        <v>0</v>
      </c>
      <c r="F104" s="41">
        <f t="shared" si="33"/>
        <v>0</v>
      </c>
      <c r="G104" s="41">
        <f t="shared" si="33"/>
        <v>0</v>
      </c>
      <c r="H104" s="41">
        <f t="shared" si="33"/>
        <v>0</v>
      </c>
      <c r="I104" s="41">
        <f t="shared" si="33"/>
        <v>0</v>
      </c>
      <c r="J104" s="41">
        <f t="shared" si="33"/>
        <v>0</v>
      </c>
      <c r="K104" s="41">
        <f t="shared" si="33"/>
        <v>0</v>
      </c>
      <c r="L104" s="41">
        <f t="shared" si="33"/>
        <v>0</v>
      </c>
      <c r="M104" s="41">
        <f t="shared" si="33"/>
        <v>0</v>
      </c>
      <c r="N104" s="41">
        <f t="shared" si="33"/>
        <v>0</v>
      </c>
      <c r="O104" s="41">
        <f t="shared" si="33"/>
        <v>0</v>
      </c>
      <c r="P104" s="41">
        <f t="shared" si="33"/>
        <v>0</v>
      </c>
      <c r="Q104" s="41">
        <f t="shared" si="33"/>
        <v>0</v>
      </c>
      <c r="R104" s="41">
        <f t="shared" si="33"/>
        <v>0</v>
      </c>
      <c r="S104" s="41">
        <f t="shared" si="33"/>
        <v>0</v>
      </c>
      <c r="T104" s="41">
        <f t="shared" si="33"/>
        <v>0</v>
      </c>
      <c r="U104" s="41">
        <f t="shared" si="33"/>
        <v>0</v>
      </c>
      <c r="V104" s="41">
        <f t="shared" si="33"/>
        <v>0</v>
      </c>
    </row>
    <row r="105" spans="1:22" x14ac:dyDescent="0.25">
      <c r="A105" s="32" t="s">
        <v>59</v>
      </c>
      <c r="B105" s="33" t="s">
        <v>41</v>
      </c>
      <c r="C105" s="41">
        <f t="shared" ref="C105:V105" si="34">C27</f>
        <v>1</v>
      </c>
      <c r="D105" s="41">
        <f t="shared" si="34"/>
        <v>1</v>
      </c>
      <c r="E105" s="41">
        <f t="shared" si="34"/>
        <v>1</v>
      </c>
      <c r="F105" s="41">
        <f t="shared" si="34"/>
        <v>0</v>
      </c>
      <c r="G105" s="41">
        <f t="shared" si="34"/>
        <v>0</v>
      </c>
      <c r="H105" s="41">
        <f t="shared" si="34"/>
        <v>0</v>
      </c>
      <c r="I105" s="41">
        <f t="shared" si="34"/>
        <v>0</v>
      </c>
      <c r="J105" s="41">
        <f t="shared" si="34"/>
        <v>0</v>
      </c>
      <c r="K105" s="41">
        <f t="shared" si="34"/>
        <v>0</v>
      </c>
      <c r="L105" s="41">
        <f t="shared" si="34"/>
        <v>0</v>
      </c>
      <c r="M105" s="41">
        <f t="shared" si="34"/>
        <v>0</v>
      </c>
      <c r="N105" s="41">
        <f t="shared" si="34"/>
        <v>0</v>
      </c>
      <c r="O105" s="41">
        <f t="shared" si="34"/>
        <v>0</v>
      </c>
      <c r="P105" s="41">
        <f t="shared" si="34"/>
        <v>0</v>
      </c>
      <c r="Q105" s="41">
        <f t="shared" si="34"/>
        <v>0</v>
      </c>
      <c r="R105" s="41">
        <f t="shared" si="34"/>
        <v>0</v>
      </c>
      <c r="S105" s="41">
        <f t="shared" si="34"/>
        <v>0</v>
      </c>
      <c r="T105" s="41">
        <f t="shared" si="34"/>
        <v>0</v>
      </c>
      <c r="U105" s="41">
        <f t="shared" si="34"/>
        <v>0</v>
      </c>
      <c r="V105" s="41">
        <f t="shared" si="34"/>
        <v>0</v>
      </c>
    </row>
    <row r="106" spans="1:22" x14ac:dyDescent="0.25">
      <c r="A106" s="32" t="s">
        <v>60</v>
      </c>
      <c r="B106" s="33" t="s">
        <v>41</v>
      </c>
      <c r="C106" s="41">
        <f t="shared" ref="C106:V106" si="35">C28</f>
        <v>1</v>
      </c>
      <c r="D106" s="41">
        <f t="shared" si="35"/>
        <v>1</v>
      </c>
      <c r="E106" s="41">
        <f t="shared" si="35"/>
        <v>1</v>
      </c>
      <c r="F106" s="41">
        <f t="shared" si="35"/>
        <v>1</v>
      </c>
      <c r="G106" s="41">
        <f t="shared" si="35"/>
        <v>1</v>
      </c>
      <c r="H106" s="41">
        <f t="shared" si="35"/>
        <v>1</v>
      </c>
      <c r="I106" s="41">
        <f t="shared" si="35"/>
        <v>0</v>
      </c>
      <c r="J106" s="41">
        <f t="shared" si="35"/>
        <v>0</v>
      </c>
      <c r="K106" s="41">
        <f t="shared" si="35"/>
        <v>0</v>
      </c>
      <c r="L106" s="41">
        <f t="shared" si="35"/>
        <v>0</v>
      </c>
      <c r="M106" s="41">
        <f t="shared" si="35"/>
        <v>0</v>
      </c>
      <c r="N106" s="41">
        <f t="shared" si="35"/>
        <v>0</v>
      </c>
      <c r="O106" s="41">
        <f t="shared" si="35"/>
        <v>0</v>
      </c>
      <c r="P106" s="41">
        <f t="shared" si="35"/>
        <v>0</v>
      </c>
      <c r="Q106" s="41">
        <f t="shared" si="35"/>
        <v>0</v>
      </c>
      <c r="R106" s="41">
        <f t="shared" si="35"/>
        <v>0</v>
      </c>
      <c r="S106" s="41">
        <f t="shared" si="35"/>
        <v>0</v>
      </c>
      <c r="T106" s="41">
        <f t="shared" si="35"/>
        <v>0</v>
      </c>
      <c r="U106" s="41">
        <f t="shared" si="35"/>
        <v>0</v>
      </c>
      <c r="V106" s="41">
        <f t="shared" si="35"/>
        <v>0</v>
      </c>
    </row>
    <row r="107" spans="1:22" x14ac:dyDescent="0.25">
      <c r="A107" s="32" t="s">
        <v>26</v>
      </c>
      <c r="B107" s="40" t="s">
        <v>45</v>
      </c>
      <c r="C107" s="41">
        <f t="shared" ref="C107:V107" si="36">C29</f>
        <v>1</v>
      </c>
      <c r="D107" s="41">
        <f t="shared" si="36"/>
        <v>1</v>
      </c>
      <c r="E107" s="41">
        <f t="shared" si="36"/>
        <v>1</v>
      </c>
      <c r="F107" s="41">
        <f t="shared" si="36"/>
        <v>1</v>
      </c>
      <c r="G107" s="41">
        <f t="shared" si="36"/>
        <v>1</v>
      </c>
      <c r="H107" s="41">
        <f t="shared" si="36"/>
        <v>1</v>
      </c>
      <c r="I107" s="41">
        <f t="shared" si="36"/>
        <v>1</v>
      </c>
      <c r="J107" s="41">
        <f t="shared" si="36"/>
        <v>1</v>
      </c>
      <c r="K107" s="41">
        <f t="shared" si="36"/>
        <v>1</v>
      </c>
      <c r="L107" s="41">
        <f t="shared" si="36"/>
        <v>1</v>
      </c>
      <c r="M107" s="41">
        <f t="shared" si="36"/>
        <v>1</v>
      </c>
      <c r="N107" s="41">
        <f t="shared" si="36"/>
        <v>1</v>
      </c>
      <c r="O107" s="41">
        <f t="shared" si="36"/>
        <v>1</v>
      </c>
      <c r="P107" s="41">
        <f t="shared" si="36"/>
        <v>1</v>
      </c>
      <c r="Q107" s="41">
        <f t="shared" si="36"/>
        <v>1</v>
      </c>
      <c r="R107" s="41">
        <f t="shared" si="36"/>
        <v>1</v>
      </c>
      <c r="S107" s="41">
        <f t="shared" si="36"/>
        <v>1</v>
      </c>
      <c r="T107" s="41">
        <f t="shared" si="36"/>
        <v>1</v>
      </c>
      <c r="U107" s="41">
        <f t="shared" si="36"/>
        <v>1</v>
      </c>
      <c r="V107" s="41">
        <f t="shared" si="36"/>
        <v>1</v>
      </c>
    </row>
    <row r="108" spans="1:22" x14ac:dyDescent="0.25">
      <c r="A108" s="32" t="s">
        <v>61</v>
      </c>
      <c r="B108" s="40" t="s">
        <v>42</v>
      </c>
      <c r="C108" s="41">
        <f t="shared" ref="C108:V108" si="37">C30</f>
        <v>1</v>
      </c>
      <c r="D108" s="41">
        <f t="shared" si="37"/>
        <v>1</v>
      </c>
      <c r="E108" s="41">
        <f t="shared" si="37"/>
        <v>1</v>
      </c>
      <c r="F108" s="41">
        <f t="shared" si="37"/>
        <v>1</v>
      </c>
      <c r="G108" s="41">
        <f t="shared" si="37"/>
        <v>1</v>
      </c>
      <c r="H108" s="41">
        <f t="shared" si="37"/>
        <v>1</v>
      </c>
      <c r="I108" s="41">
        <f t="shared" si="37"/>
        <v>1</v>
      </c>
      <c r="J108" s="41">
        <f t="shared" si="37"/>
        <v>1</v>
      </c>
      <c r="K108" s="41">
        <f t="shared" si="37"/>
        <v>1</v>
      </c>
      <c r="L108" s="41">
        <f t="shared" si="37"/>
        <v>1</v>
      </c>
      <c r="M108" s="41">
        <f t="shared" si="37"/>
        <v>1</v>
      </c>
      <c r="N108" s="41">
        <f t="shared" si="37"/>
        <v>1</v>
      </c>
      <c r="O108" s="41">
        <f t="shared" si="37"/>
        <v>1</v>
      </c>
      <c r="P108" s="41">
        <f t="shared" si="37"/>
        <v>1</v>
      </c>
      <c r="Q108" s="41">
        <f t="shared" si="37"/>
        <v>1</v>
      </c>
      <c r="R108" s="41">
        <f t="shared" si="37"/>
        <v>1</v>
      </c>
      <c r="S108" s="41">
        <f t="shared" si="37"/>
        <v>1</v>
      </c>
      <c r="T108" s="41">
        <f t="shared" si="37"/>
        <v>1</v>
      </c>
      <c r="U108" s="41">
        <f t="shared" si="37"/>
        <v>1</v>
      </c>
      <c r="V108" s="41">
        <f t="shared" si="37"/>
        <v>1</v>
      </c>
    </row>
    <row r="109" spans="1:22" x14ac:dyDescent="0.25">
      <c r="A109" s="32" t="s">
        <v>71</v>
      </c>
      <c r="B109" s="33" t="s">
        <v>40</v>
      </c>
      <c r="C109" s="41">
        <f t="shared" ref="C109:V109" si="38">C31</f>
        <v>1</v>
      </c>
      <c r="D109" s="41">
        <f t="shared" si="38"/>
        <v>1</v>
      </c>
      <c r="E109" s="41">
        <f t="shared" si="38"/>
        <v>0</v>
      </c>
      <c r="F109" s="41">
        <f t="shared" si="38"/>
        <v>0</v>
      </c>
      <c r="G109" s="41">
        <f t="shared" si="38"/>
        <v>0</v>
      </c>
      <c r="H109" s="41">
        <f t="shared" si="38"/>
        <v>0</v>
      </c>
      <c r="I109" s="41">
        <f t="shared" si="38"/>
        <v>0</v>
      </c>
      <c r="J109" s="41">
        <f t="shared" si="38"/>
        <v>0</v>
      </c>
      <c r="K109" s="41">
        <f t="shared" si="38"/>
        <v>0</v>
      </c>
      <c r="L109" s="41">
        <f t="shared" si="38"/>
        <v>0</v>
      </c>
      <c r="M109" s="41">
        <f t="shared" si="38"/>
        <v>0</v>
      </c>
      <c r="N109" s="41">
        <f t="shared" si="38"/>
        <v>0</v>
      </c>
      <c r="O109" s="41">
        <f t="shared" si="38"/>
        <v>0</v>
      </c>
      <c r="P109" s="41">
        <f t="shared" si="38"/>
        <v>0</v>
      </c>
      <c r="Q109" s="41">
        <f t="shared" si="38"/>
        <v>0</v>
      </c>
      <c r="R109" s="41">
        <f t="shared" si="38"/>
        <v>0</v>
      </c>
      <c r="S109" s="41">
        <f t="shared" si="38"/>
        <v>0</v>
      </c>
      <c r="T109" s="41">
        <f t="shared" si="38"/>
        <v>0</v>
      </c>
      <c r="U109" s="41">
        <f t="shared" si="38"/>
        <v>0</v>
      </c>
      <c r="V109" s="41">
        <f t="shared" si="38"/>
        <v>0</v>
      </c>
    </row>
    <row r="110" spans="1:22" x14ac:dyDescent="0.25">
      <c r="A110" s="32" t="s">
        <v>27</v>
      </c>
      <c r="B110" s="40" t="s">
        <v>45</v>
      </c>
      <c r="C110" s="41">
        <f t="shared" ref="C110:V110" si="39">C32</f>
        <v>1</v>
      </c>
      <c r="D110" s="41">
        <f t="shared" si="39"/>
        <v>0</v>
      </c>
      <c r="E110" s="41">
        <f t="shared" si="39"/>
        <v>0</v>
      </c>
      <c r="F110" s="41">
        <f t="shared" si="39"/>
        <v>0</v>
      </c>
      <c r="G110" s="41">
        <f t="shared" si="39"/>
        <v>0</v>
      </c>
      <c r="H110" s="41">
        <f t="shared" si="39"/>
        <v>0</v>
      </c>
      <c r="I110" s="41">
        <f t="shared" si="39"/>
        <v>0</v>
      </c>
      <c r="J110" s="41">
        <f t="shared" si="39"/>
        <v>0</v>
      </c>
      <c r="K110" s="41">
        <f t="shared" si="39"/>
        <v>0</v>
      </c>
      <c r="L110" s="41">
        <f t="shared" si="39"/>
        <v>0</v>
      </c>
      <c r="M110" s="41">
        <f t="shared" si="39"/>
        <v>0</v>
      </c>
      <c r="N110" s="41">
        <f t="shared" si="39"/>
        <v>0</v>
      </c>
      <c r="O110" s="41">
        <f t="shared" si="39"/>
        <v>0</v>
      </c>
      <c r="P110" s="41">
        <f t="shared" si="39"/>
        <v>0</v>
      </c>
      <c r="Q110" s="41">
        <f t="shared" si="39"/>
        <v>0</v>
      </c>
      <c r="R110" s="41">
        <f t="shared" si="39"/>
        <v>0</v>
      </c>
      <c r="S110" s="41">
        <f t="shared" si="39"/>
        <v>0</v>
      </c>
      <c r="T110" s="41">
        <f t="shared" si="39"/>
        <v>0</v>
      </c>
      <c r="U110" s="41">
        <f t="shared" si="39"/>
        <v>0</v>
      </c>
      <c r="V110" s="41">
        <f t="shared" si="39"/>
        <v>0</v>
      </c>
    </row>
    <row r="111" spans="1:22" x14ac:dyDescent="0.25">
      <c r="A111" s="32" t="s">
        <v>39</v>
      </c>
      <c r="B111" s="33" t="s">
        <v>41</v>
      </c>
      <c r="C111" s="41">
        <f t="shared" ref="C111:V111" si="40">C33</f>
        <v>1</v>
      </c>
      <c r="D111" s="41">
        <f t="shared" si="40"/>
        <v>1</v>
      </c>
      <c r="E111" s="41">
        <f t="shared" si="40"/>
        <v>1</v>
      </c>
      <c r="F111" s="41">
        <f t="shared" si="40"/>
        <v>1</v>
      </c>
      <c r="G111" s="41">
        <f t="shared" si="40"/>
        <v>0</v>
      </c>
      <c r="H111" s="41">
        <f t="shared" si="40"/>
        <v>0</v>
      </c>
      <c r="I111" s="41">
        <f t="shared" si="40"/>
        <v>0</v>
      </c>
      <c r="J111" s="41">
        <f t="shared" si="40"/>
        <v>0</v>
      </c>
      <c r="K111" s="41">
        <f t="shared" si="40"/>
        <v>0</v>
      </c>
      <c r="L111" s="41">
        <f t="shared" si="40"/>
        <v>0</v>
      </c>
      <c r="M111" s="41">
        <f t="shared" si="40"/>
        <v>0</v>
      </c>
      <c r="N111" s="41">
        <f t="shared" si="40"/>
        <v>0</v>
      </c>
      <c r="O111" s="41">
        <f t="shared" si="40"/>
        <v>0</v>
      </c>
      <c r="P111" s="41">
        <f t="shared" si="40"/>
        <v>0</v>
      </c>
      <c r="Q111" s="41">
        <f t="shared" si="40"/>
        <v>0</v>
      </c>
      <c r="R111" s="41">
        <f t="shared" si="40"/>
        <v>0</v>
      </c>
      <c r="S111" s="41">
        <f t="shared" si="40"/>
        <v>0</v>
      </c>
      <c r="T111" s="41">
        <f t="shared" si="40"/>
        <v>0</v>
      </c>
      <c r="U111" s="41">
        <f t="shared" si="40"/>
        <v>0</v>
      </c>
      <c r="V111" s="41">
        <f t="shared" si="40"/>
        <v>0</v>
      </c>
    </row>
    <row r="112" spans="1:22" x14ac:dyDescent="0.25">
      <c r="A112" s="32" t="s">
        <v>28</v>
      </c>
      <c r="B112" s="32"/>
      <c r="C112" s="41">
        <f t="shared" ref="C112:V112" si="41">C34</f>
        <v>1</v>
      </c>
      <c r="D112" s="41">
        <f t="shared" si="41"/>
        <v>0</v>
      </c>
      <c r="E112" s="41">
        <f t="shared" si="41"/>
        <v>0</v>
      </c>
      <c r="F112" s="41">
        <f t="shared" si="41"/>
        <v>0</v>
      </c>
      <c r="G112" s="41">
        <f t="shared" si="41"/>
        <v>0</v>
      </c>
      <c r="H112" s="41">
        <f t="shared" si="41"/>
        <v>0</v>
      </c>
      <c r="I112" s="41">
        <f t="shared" si="41"/>
        <v>0</v>
      </c>
      <c r="J112" s="41">
        <f t="shared" si="41"/>
        <v>0</v>
      </c>
      <c r="K112" s="41">
        <f t="shared" si="41"/>
        <v>0</v>
      </c>
      <c r="L112" s="41">
        <f t="shared" si="41"/>
        <v>0</v>
      </c>
      <c r="M112" s="41">
        <f t="shared" si="41"/>
        <v>0</v>
      </c>
      <c r="N112" s="41">
        <f t="shared" si="41"/>
        <v>0</v>
      </c>
      <c r="O112" s="41">
        <f t="shared" si="41"/>
        <v>0</v>
      </c>
      <c r="P112" s="41">
        <f t="shared" si="41"/>
        <v>0</v>
      </c>
      <c r="Q112" s="41">
        <f t="shared" si="41"/>
        <v>0</v>
      </c>
      <c r="R112" s="41">
        <f t="shared" si="41"/>
        <v>0</v>
      </c>
      <c r="S112" s="41">
        <f t="shared" si="41"/>
        <v>0</v>
      </c>
      <c r="T112" s="41">
        <f t="shared" si="41"/>
        <v>0</v>
      </c>
      <c r="U112" s="41">
        <f t="shared" si="41"/>
        <v>0</v>
      </c>
      <c r="V112" s="41">
        <f t="shared" si="41"/>
        <v>0</v>
      </c>
    </row>
    <row r="113" spans="1:22" x14ac:dyDescent="0.25">
      <c r="A113" s="32" t="s">
        <v>62</v>
      </c>
      <c r="B113" s="33" t="s">
        <v>41</v>
      </c>
      <c r="C113" s="41">
        <f t="shared" ref="C113:V113" si="42">C35</f>
        <v>1</v>
      </c>
      <c r="D113" s="41">
        <f t="shared" si="42"/>
        <v>1</v>
      </c>
      <c r="E113" s="41">
        <f t="shared" si="42"/>
        <v>1</v>
      </c>
      <c r="F113" s="41">
        <f t="shared" si="42"/>
        <v>1</v>
      </c>
      <c r="G113" s="41">
        <f t="shared" si="42"/>
        <v>1</v>
      </c>
      <c r="H113" s="41">
        <f t="shared" si="42"/>
        <v>0</v>
      </c>
      <c r="I113" s="41">
        <f t="shared" si="42"/>
        <v>0</v>
      </c>
      <c r="J113" s="41">
        <f t="shared" si="42"/>
        <v>0</v>
      </c>
      <c r="K113" s="41">
        <f t="shared" si="42"/>
        <v>0</v>
      </c>
      <c r="L113" s="41">
        <f t="shared" si="42"/>
        <v>0</v>
      </c>
      <c r="M113" s="41">
        <f t="shared" si="42"/>
        <v>0</v>
      </c>
      <c r="N113" s="41">
        <f t="shared" si="42"/>
        <v>0</v>
      </c>
      <c r="O113" s="41">
        <f t="shared" si="42"/>
        <v>0</v>
      </c>
      <c r="P113" s="41">
        <f t="shared" si="42"/>
        <v>0</v>
      </c>
      <c r="Q113" s="41">
        <f t="shared" si="42"/>
        <v>0</v>
      </c>
      <c r="R113" s="41">
        <f t="shared" si="42"/>
        <v>0</v>
      </c>
      <c r="S113" s="41">
        <f t="shared" si="42"/>
        <v>0</v>
      </c>
      <c r="T113" s="41">
        <f t="shared" si="42"/>
        <v>0</v>
      </c>
      <c r="U113" s="41">
        <f t="shared" si="42"/>
        <v>0</v>
      </c>
      <c r="V113" s="41">
        <f t="shared" si="42"/>
        <v>0</v>
      </c>
    </row>
    <row r="114" spans="1:22" x14ac:dyDescent="0.25">
      <c r="A114" s="32" t="s">
        <v>29</v>
      </c>
      <c r="B114" s="33" t="s">
        <v>41</v>
      </c>
      <c r="C114" s="41">
        <f t="shared" ref="C114:V114" si="43">C36</f>
        <v>1</v>
      </c>
      <c r="D114" s="41">
        <f t="shared" si="43"/>
        <v>1</v>
      </c>
      <c r="E114" s="41">
        <f t="shared" si="43"/>
        <v>1</v>
      </c>
      <c r="F114" s="41">
        <f t="shared" si="43"/>
        <v>0</v>
      </c>
      <c r="G114" s="41">
        <f t="shared" si="43"/>
        <v>0</v>
      </c>
      <c r="H114" s="41">
        <f t="shared" si="43"/>
        <v>0</v>
      </c>
      <c r="I114" s="41">
        <f t="shared" si="43"/>
        <v>0</v>
      </c>
      <c r="J114" s="41">
        <f t="shared" si="43"/>
        <v>0</v>
      </c>
      <c r="K114" s="41">
        <f t="shared" si="43"/>
        <v>0</v>
      </c>
      <c r="L114" s="41">
        <f t="shared" si="43"/>
        <v>0</v>
      </c>
      <c r="M114" s="41">
        <f t="shared" si="43"/>
        <v>0</v>
      </c>
      <c r="N114" s="41">
        <f t="shared" si="43"/>
        <v>0</v>
      </c>
      <c r="O114" s="41">
        <f t="shared" si="43"/>
        <v>0</v>
      </c>
      <c r="P114" s="41">
        <f t="shared" si="43"/>
        <v>0</v>
      </c>
      <c r="Q114" s="41">
        <f t="shared" si="43"/>
        <v>0</v>
      </c>
      <c r="R114" s="41">
        <f t="shared" si="43"/>
        <v>0</v>
      </c>
      <c r="S114" s="41">
        <f t="shared" si="43"/>
        <v>0</v>
      </c>
      <c r="T114" s="41">
        <f t="shared" si="43"/>
        <v>0</v>
      </c>
      <c r="U114" s="41">
        <f t="shared" si="43"/>
        <v>0</v>
      </c>
      <c r="V114" s="41">
        <f t="shared" si="43"/>
        <v>0</v>
      </c>
    </row>
    <row r="115" spans="1:22" x14ac:dyDescent="0.25">
      <c r="A115" s="32" t="s">
        <v>30</v>
      </c>
      <c r="B115" s="40" t="s">
        <v>43</v>
      </c>
      <c r="C115" s="41">
        <f t="shared" ref="C115:V115" si="44">C37</f>
        <v>1</v>
      </c>
      <c r="D115" s="41">
        <f t="shared" si="44"/>
        <v>1</v>
      </c>
      <c r="E115" s="41">
        <f t="shared" si="44"/>
        <v>1</v>
      </c>
      <c r="F115" s="41">
        <f t="shared" si="44"/>
        <v>1</v>
      </c>
      <c r="G115" s="41">
        <f t="shared" si="44"/>
        <v>1</v>
      </c>
      <c r="H115" s="41">
        <f t="shared" si="44"/>
        <v>1</v>
      </c>
      <c r="I115" s="41">
        <f t="shared" si="44"/>
        <v>1</v>
      </c>
      <c r="J115" s="41">
        <f t="shared" si="44"/>
        <v>1</v>
      </c>
      <c r="K115" s="41">
        <f t="shared" si="44"/>
        <v>1</v>
      </c>
      <c r="L115" s="41">
        <f t="shared" si="44"/>
        <v>1</v>
      </c>
      <c r="M115" s="41">
        <f t="shared" si="44"/>
        <v>1</v>
      </c>
      <c r="N115" s="41">
        <f t="shared" si="44"/>
        <v>1</v>
      </c>
      <c r="O115" s="41">
        <f t="shared" si="44"/>
        <v>1</v>
      </c>
      <c r="P115" s="41">
        <f t="shared" si="44"/>
        <v>1</v>
      </c>
      <c r="Q115" s="41">
        <f t="shared" si="44"/>
        <v>1</v>
      </c>
      <c r="R115" s="41">
        <f t="shared" si="44"/>
        <v>1</v>
      </c>
      <c r="S115" s="41">
        <f t="shared" si="44"/>
        <v>1</v>
      </c>
      <c r="T115" s="41">
        <f t="shared" si="44"/>
        <v>1</v>
      </c>
      <c r="U115" s="41">
        <f t="shared" si="44"/>
        <v>1</v>
      </c>
      <c r="V115" s="41">
        <f t="shared" si="44"/>
        <v>1</v>
      </c>
    </row>
    <row r="116" spans="1:22" x14ac:dyDescent="0.25">
      <c r="A116" s="32" t="s">
        <v>31</v>
      </c>
      <c r="B116" s="41" t="s">
        <v>48</v>
      </c>
      <c r="C116" s="41">
        <f t="shared" ref="C116:V116" si="45">C38</f>
        <v>0</v>
      </c>
      <c r="D116" s="41">
        <f t="shared" si="45"/>
        <v>0</v>
      </c>
      <c r="E116" s="41">
        <f t="shared" si="45"/>
        <v>0</v>
      </c>
      <c r="F116" s="41">
        <f t="shared" si="45"/>
        <v>0</v>
      </c>
      <c r="G116" s="41">
        <f t="shared" si="45"/>
        <v>0</v>
      </c>
      <c r="H116" s="41">
        <f t="shared" si="45"/>
        <v>0</v>
      </c>
      <c r="I116" s="41">
        <f t="shared" si="45"/>
        <v>0</v>
      </c>
      <c r="J116" s="41">
        <f t="shared" si="45"/>
        <v>0</v>
      </c>
      <c r="K116" s="41">
        <f t="shared" si="45"/>
        <v>0</v>
      </c>
      <c r="L116" s="41">
        <f t="shared" si="45"/>
        <v>0</v>
      </c>
      <c r="M116" s="41">
        <f t="shared" si="45"/>
        <v>0</v>
      </c>
      <c r="N116" s="41">
        <f t="shared" si="45"/>
        <v>0</v>
      </c>
      <c r="O116" s="41">
        <f t="shared" si="45"/>
        <v>0</v>
      </c>
      <c r="P116" s="41">
        <f t="shared" si="45"/>
        <v>0</v>
      </c>
      <c r="Q116" s="41">
        <f t="shared" si="45"/>
        <v>0</v>
      </c>
      <c r="R116" s="41">
        <f t="shared" si="45"/>
        <v>0</v>
      </c>
      <c r="S116" s="41">
        <f t="shared" si="45"/>
        <v>0</v>
      </c>
      <c r="T116" s="41">
        <f t="shared" si="45"/>
        <v>0</v>
      </c>
      <c r="U116" s="41">
        <f t="shared" si="45"/>
        <v>0</v>
      </c>
      <c r="V116" s="41">
        <f t="shared" si="45"/>
        <v>0</v>
      </c>
    </row>
    <row r="117" spans="1:22" x14ac:dyDescent="0.25">
      <c r="A117" s="32" t="s">
        <v>32</v>
      </c>
      <c r="B117" s="41" t="s">
        <v>48</v>
      </c>
      <c r="C117" s="41">
        <f t="shared" ref="C117:V117" si="46">C39</f>
        <v>0</v>
      </c>
      <c r="D117" s="41">
        <f t="shared" si="46"/>
        <v>0</v>
      </c>
      <c r="E117" s="41">
        <f t="shared" si="46"/>
        <v>0</v>
      </c>
      <c r="F117" s="41">
        <f t="shared" si="46"/>
        <v>0</v>
      </c>
      <c r="G117" s="41">
        <f t="shared" si="46"/>
        <v>0</v>
      </c>
      <c r="H117" s="41">
        <f t="shared" si="46"/>
        <v>0</v>
      </c>
      <c r="I117" s="41">
        <f t="shared" si="46"/>
        <v>0</v>
      </c>
      <c r="J117" s="41">
        <f t="shared" si="46"/>
        <v>0</v>
      </c>
      <c r="K117" s="41">
        <f t="shared" si="46"/>
        <v>0</v>
      </c>
      <c r="L117" s="41">
        <f t="shared" si="46"/>
        <v>0</v>
      </c>
      <c r="M117" s="41">
        <f t="shared" si="46"/>
        <v>0</v>
      </c>
      <c r="N117" s="41">
        <f t="shared" si="46"/>
        <v>0</v>
      </c>
      <c r="O117" s="41">
        <f t="shared" si="46"/>
        <v>0</v>
      </c>
      <c r="P117" s="41">
        <f t="shared" si="46"/>
        <v>0</v>
      </c>
      <c r="Q117" s="41">
        <f t="shared" si="46"/>
        <v>0</v>
      </c>
      <c r="R117" s="41">
        <f t="shared" si="46"/>
        <v>0</v>
      </c>
      <c r="S117" s="41">
        <f t="shared" si="46"/>
        <v>0</v>
      </c>
      <c r="T117" s="41">
        <f t="shared" si="46"/>
        <v>0</v>
      </c>
      <c r="U117" s="41">
        <f t="shared" si="46"/>
        <v>0</v>
      </c>
      <c r="V117" s="41">
        <f t="shared" si="46"/>
        <v>0</v>
      </c>
    </row>
    <row r="118" spans="1:22" x14ac:dyDescent="0.25">
      <c r="A118" s="32" t="s">
        <v>33</v>
      </c>
      <c r="B118" s="33" t="s">
        <v>41</v>
      </c>
      <c r="C118" s="41">
        <f t="shared" ref="C118:V118" si="47">C40</f>
        <v>0</v>
      </c>
      <c r="D118" s="41">
        <f t="shared" si="47"/>
        <v>0</v>
      </c>
      <c r="E118" s="41">
        <f t="shared" si="47"/>
        <v>0</v>
      </c>
      <c r="F118" s="41">
        <f t="shared" si="47"/>
        <v>0</v>
      </c>
      <c r="G118" s="41">
        <f t="shared" si="47"/>
        <v>0</v>
      </c>
      <c r="H118" s="41">
        <f t="shared" si="47"/>
        <v>0</v>
      </c>
      <c r="I118" s="41">
        <f t="shared" si="47"/>
        <v>0</v>
      </c>
      <c r="J118" s="41">
        <f t="shared" si="47"/>
        <v>0</v>
      </c>
      <c r="K118" s="41">
        <f t="shared" si="47"/>
        <v>0</v>
      </c>
      <c r="L118" s="41">
        <f t="shared" si="47"/>
        <v>0</v>
      </c>
      <c r="M118" s="41">
        <f t="shared" si="47"/>
        <v>0</v>
      </c>
      <c r="N118" s="41">
        <f t="shared" si="47"/>
        <v>0</v>
      </c>
      <c r="O118" s="41">
        <f t="shared" si="47"/>
        <v>0</v>
      </c>
      <c r="P118" s="41">
        <f t="shared" si="47"/>
        <v>0</v>
      </c>
      <c r="Q118" s="41">
        <f t="shared" si="47"/>
        <v>0</v>
      </c>
      <c r="R118" s="41">
        <f t="shared" si="47"/>
        <v>0</v>
      </c>
      <c r="S118" s="41">
        <f t="shared" si="47"/>
        <v>0</v>
      </c>
      <c r="T118" s="41">
        <f t="shared" si="47"/>
        <v>0</v>
      </c>
      <c r="U118" s="41">
        <f t="shared" si="47"/>
        <v>0</v>
      </c>
      <c r="V118" s="41">
        <f t="shared" si="47"/>
        <v>0</v>
      </c>
    </row>
    <row r="119" spans="1:22" x14ac:dyDescent="0.25">
      <c r="A119" s="32" t="s">
        <v>34</v>
      </c>
      <c r="B119" s="40" t="s">
        <v>45</v>
      </c>
      <c r="C119" s="41">
        <f t="shared" ref="C119:V119" si="48">C41</f>
        <v>1</v>
      </c>
      <c r="D119" s="41">
        <f t="shared" si="48"/>
        <v>1</v>
      </c>
      <c r="E119" s="41">
        <f t="shared" si="48"/>
        <v>1</v>
      </c>
      <c r="F119" s="41">
        <f t="shared" si="48"/>
        <v>1</v>
      </c>
      <c r="G119" s="41">
        <f t="shared" si="48"/>
        <v>1</v>
      </c>
      <c r="H119" s="41">
        <f t="shared" si="48"/>
        <v>0</v>
      </c>
      <c r="I119" s="41">
        <f t="shared" si="48"/>
        <v>0</v>
      </c>
      <c r="J119" s="41">
        <f t="shared" si="48"/>
        <v>0</v>
      </c>
      <c r="K119" s="41">
        <f t="shared" si="48"/>
        <v>0</v>
      </c>
      <c r="L119" s="41">
        <f t="shared" si="48"/>
        <v>0</v>
      </c>
      <c r="M119" s="41">
        <f t="shared" si="48"/>
        <v>0</v>
      </c>
      <c r="N119" s="41">
        <f t="shared" si="48"/>
        <v>0</v>
      </c>
      <c r="O119" s="41">
        <f t="shared" si="48"/>
        <v>0</v>
      </c>
      <c r="P119" s="41">
        <f t="shared" si="48"/>
        <v>0</v>
      </c>
      <c r="Q119" s="41">
        <f t="shared" si="48"/>
        <v>0</v>
      </c>
      <c r="R119" s="41">
        <f t="shared" si="48"/>
        <v>0</v>
      </c>
      <c r="S119" s="41">
        <f t="shared" si="48"/>
        <v>0</v>
      </c>
      <c r="T119" s="41">
        <f t="shared" si="48"/>
        <v>0</v>
      </c>
      <c r="U119" s="41">
        <f t="shared" si="48"/>
        <v>0</v>
      </c>
      <c r="V119" s="41">
        <f t="shared" si="48"/>
        <v>0</v>
      </c>
    </row>
    <row r="120" spans="1:22" x14ac:dyDescent="0.25">
      <c r="A120" s="32" t="s">
        <v>63</v>
      </c>
      <c r="B120" s="40" t="s">
        <v>43</v>
      </c>
      <c r="C120" s="41">
        <f t="shared" ref="C120:V120" si="49">C42</f>
        <v>1</v>
      </c>
      <c r="D120" s="41">
        <f t="shared" si="49"/>
        <v>1</v>
      </c>
      <c r="E120" s="41">
        <f t="shared" si="49"/>
        <v>1</v>
      </c>
      <c r="F120" s="41">
        <f t="shared" si="49"/>
        <v>1</v>
      </c>
      <c r="G120" s="41">
        <f t="shared" si="49"/>
        <v>1</v>
      </c>
      <c r="H120" s="41">
        <f t="shared" si="49"/>
        <v>1</v>
      </c>
      <c r="I120" s="41">
        <f t="shared" si="49"/>
        <v>1</v>
      </c>
      <c r="J120" s="41">
        <f t="shared" si="49"/>
        <v>1</v>
      </c>
      <c r="K120" s="41">
        <f t="shared" si="49"/>
        <v>1</v>
      </c>
      <c r="L120" s="41">
        <f t="shared" si="49"/>
        <v>1</v>
      </c>
      <c r="M120" s="41">
        <f t="shared" si="49"/>
        <v>1</v>
      </c>
      <c r="N120" s="41">
        <f t="shared" si="49"/>
        <v>1</v>
      </c>
      <c r="O120" s="41">
        <f t="shared" si="49"/>
        <v>1</v>
      </c>
      <c r="P120" s="41">
        <f t="shared" si="49"/>
        <v>1</v>
      </c>
      <c r="Q120" s="41">
        <f t="shared" si="49"/>
        <v>1</v>
      </c>
      <c r="R120" s="41">
        <f t="shared" si="49"/>
        <v>1</v>
      </c>
      <c r="S120" s="41">
        <f t="shared" si="49"/>
        <v>1</v>
      </c>
      <c r="T120" s="41">
        <f t="shared" si="49"/>
        <v>1</v>
      </c>
      <c r="U120" s="41">
        <f t="shared" si="49"/>
        <v>1</v>
      </c>
      <c r="V120" s="41">
        <f t="shared" si="49"/>
        <v>1</v>
      </c>
    </row>
    <row r="121" spans="1:22" x14ac:dyDescent="0.25">
      <c r="A121" s="32" t="s">
        <v>64</v>
      </c>
      <c r="B121" s="33" t="s">
        <v>46</v>
      </c>
      <c r="C121" s="41">
        <f t="shared" ref="C121:V121" si="50">C43</f>
        <v>1</v>
      </c>
      <c r="D121" s="41">
        <f t="shared" si="50"/>
        <v>1</v>
      </c>
      <c r="E121" s="41">
        <f t="shared" si="50"/>
        <v>0</v>
      </c>
      <c r="F121" s="41">
        <f t="shared" si="50"/>
        <v>0</v>
      </c>
      <c r="G121" s="41">
        <f t="shared" si="50"/>
        <v>0</v>
      </c>
      <c r="H121" s="41">
        <f t="shared" si="50"/>
        <v>0</v>
      </c>
      <c r="I121" s="41">
        <f t="shared" si="50"/>
        <v>0</v>
      </c>
      <c r="J121" s="41">
        <f t="shared" si="50"/>
        <v>0</v>
      </c>
      <c r="K121" s="41">
        <f t="shared" si="50"/>
        <v>0</v>
      </c>
      <c r="L121" s="41">
        <f t="shared" si="50"/>
        <v>0</v>
      </c>
      <c r="M121" s="41">
        <f t="shared" si="50"/>
        <v>0</v>
      </c>
      <c r="N121" s="41">
        <f t="shared" si="50"/>
        <v>0</v>
      </c>
      <c r="O121" s="41">
        <f t="shared" si="50"/>
        <v>0</v>
      </c>
      <c r="P121" s="41">
        <f t="shared" si="50"/>
        <v>0</v>
      </c>
      <c r="Q121" s="41">
        <f t="shared" si="50"/>
        <v>0</v>
      </c>
      <c r="R121" s="41">
        <f t="shared" si="50"/>
        <v>0</v>
      </c>
      <c r="S121" s="41">
        <f t="shared" si="50"/>
        <v>0</v>
      </c>
      <c r="T121" s="41">
        <f t="shared" si="50"/>
        <v>0</v>
      </c>
      <c r="U121" s="41">
        <f t="shared" si="50"/>
        <v>0</v>
      </c>
      <c r="V121" s="41">
        <f t="shared" si="50"/>
        <v>0</v>
      </c>
    </row>
    <row r="122" spans="1:22" x14ac:dyDescent="0.25">
      <c r="A122" s="32" t="s">
        <v>65</v>
      </c>
      <c r="B122" s="33" t="s">
        <v>41</v>
      </c>
      <c r="C122" s="41">
        <f t="shared" ref="C122:V122" si="51">C44</f>
        <v>1</v>
      </c>
      <c r="D122" s="41">
        <f t="shared" si="51"/>
        <v>1</v>
      </c>
      <c r="E122" s="41">
        <f t="shared" si="51"/>
        <v>1</v>
      </c>
      <c r="F122" s="41">
        <f t="shared" si="51"/>
        <v>1</v>
      </c>
      <c r="G122" s="41">
        <f t="shared" si="51"/>
        <v>1</v>
      </c>
      <c r="H122" s="41">
        <f t="shared" si="51"/>
        <v>1</v>
      </c>
      <c r="I122" s="41">
        <f t="shared" si="51"/>
        <v>1</v>
      </c>
      <c r="J122" s="41">
        <f t="shared" si="51"/>
        <v>0</v>
      </c>
      <c r="K122" s="41">
        <f t="shared" si="51"/>
        <v>0</v>
      </c>
      <c r="L122" s="41">
        <f t="shared" si="51"/>
        <v>0</v>
      </c>
      <c r="M122" s="41">
        <f t="shared" si="51"/>
        <v>0</v>
      </c>
      <c r="N122" s="41">
        <f t="shared" si="51"/>
        <v>0</v>
      </c>
      <c r="O122" s="41">
        <f t="shared" si="51"/>
        <v>0</v>
      </c>
      <c r="P122" s="41">
        <f t="shared" si="51"/>
        <v>0</v>
      </c>
      <c r="Q122" s="41">
        <f t="shared" si="51"/>
        <v>0</v>
      </c>
      <c r="R122" s="41">
        <f t="shared" si="51"/>
        <v>0</v>
      </c>
      <c r="S122" s="41">
        <f t="shared" si="51"/>
        <v>0</v>
      </c>
      <c r="T122" s="41">
        <f t="shared" si="51"/>
        <v>0</v>
      </c>
      <c r="U122" s="41">
        <f t="shared" si="51"/>
        <v>0</v>
      </c>
      <c r="V122" s="41">
        <f t="shared" si="51"/>
        <v>0</v>
      </c>
    </row>
    <row r="123" spans="1:22" x14ac:dyDescent="0.25">
      <c r="A123" s="32" t="s">
        <v>35</v>
      </c>
      <c r="B123" s="33" t="s">
        <v>40</v>
      </c>
      <c r="C123" s="41">
        <f t="shared" ref="C123:V123" si="52">C45</f>
        <v>1</v>
      </c>
      <c r="D123" s="41">
        <f t="shared" si="52"/>
        <v>1</v>
      </c>
      <c r="E123" s="41">
        <f t="shared" si="52"/>
        <v>0</v>
      </c>
      <c r="F123" s="41">
        <f t="shared" si="52"/>
        <v>0</v>
      </c>
      <c r="G123" s="41">
        <f t="shared" si="52"/>
        <v>0</v>
      </c>
      <c r="H123" s="41">
        <f t="shared" si="52"/>
        <v>0</v>
      </c>
      <c r="I123" s="41">
        <f t="shared" si="52"/>
        <v>0</v>
      </c>
      <c r="J123" s="41">
        <f t="shared" si="52"/>
        <v>0</v>
      </c>
      <c r="K123" s="41">
        <f t="shared" si="52"/>
        <v>0</v>
      </c>
      <c r="L123" s="41">
        <f t="shared" si="52"/>
        <v>0</v>
      </c>
      <c r="M123" s="41">
        <f t="shared" si="52"/>
        <v>0</v>
      </c>
      <c r="N123" s="41">
        <f t="shared" si="52"/>
        <v>0</v>
      </c>
      <c r="O123" s="41">
        <f t="shared" si="52"/>
        <v>0</v>
      </c>
      <c r="P123" s="41">
        <f t="shared" si="52"/>
        <v>0</v>
      </c>
      <c r="Q123" s="41">
        <f t="shared" si="52"/>
        <v>0</v>
      </c>
      <c r="R123" s="41">
        <f t="shared" si="52"/>
        <v>0</v>
      </c>
      <c r="S123" s="41">
        <f t="shared" si="52"/>
        <v>0</v>
      </c>
      <c r="T123" s="41">
        <f t="shared" si="52"/>
        <v>0</v>
      </c>
      <c r="U123" s="41">
        <f t="shared" si="52"/>
        <v>0</v>
      </c>
      <c r="V123" s="41">
        <f t="shared" si="52"/>
        <v>0</v>
      </c>
    </row>
    <row r="124" spans="1:22" x14ac:dyDescent="0.25">
      <c r="A124" s="32" t="s">
        <v>36</v>
      </c>
      <c r="B124" s="33" t="s">
        <v>40</v>
      </c>
      <c r="C124" s="41">
        <f t="shared" ref="C124:V124" si="53">C46</f>
        <v>1</v>
      </c>
      <c r="D124" s="41">
        <f t="shared" si="53"/>
        <v>1</v>
      </c>
      <c r="E124" s="41">
        <f t="shared" si="53"/>
        <v>0</v>
      </c>
      <c r="F124" s="41">
        <f t="shared" si="53"/>
        <v>0</v>
      </c>
      <c r="G124" s="41">
        <f t="shared" si="53"/>
        <v>0</v>
      </c>
      <c r="H124" s="41">
        <f t="shared" si="53"/>
        <v>0</v>
      </c>
      <c r="I124" s="41">
        <f t="shared" si="53"/>
        <v>0</v>
      </c>
      <c r="J124" s="41">
        <f t="shared" si="53"/>
        <v>0</v>
      </c>
      <c r="K124" s="41">
        <f t="shared" si="53"/>
        <v>0</v>
      </c>
      <c r="L124" s="41">
        <f t="shared" si="53"/>
        <v>0</v>
      </c>
      <c r="M124" s="41">
        <f t="shared" si="53"/>
        <v>0</v>
      </c>
      <c r="N124" s="41">
        <f t="shared" si="53"/>
        <v>0</v>
      </c>
      <c r="O124" s="41">
        <f t="shared" si="53"/>
        <v>0</v>
      </c>
      <c r="P124" s="41">
        <f t="shared" si="53"/>
        <v>0</v>
      </c>
      <c r="Q124" s="41">
        <f t="shared" si="53"/>
        <v>0</v>
      </c>
      <c r="R124" s="41">
        <f t="shared" si="53"/>
        <v>0</v>
      </c>
      <c r="S124" s="41">
        <f t="shared" si="53"/>
        <v>0</v>
      </c>
      <c r="T124" s="41">
        <f t="shared" si="53"/>
        <v>0</v>
      </c>
      <c r="U124" s="41">
        <f t="shared" si="53"/>
        <v>0</v>
      </c>
      <c r="V124" s="41">
        <f t="shared" si="53"/>
        <v>0</v>
      </c>
    </row>
    <row r="125" spans="1:22" x14ac:dyDescent="0.25">
      <c r="A125" s="32" t="s">
        <v>37</v>
      </c>
      <c r="B125" s="33" t="s">
        <v>40</v>
      </c>
      <c r="C125" s="41">
        <f t="shared" ref="C125:V125" si="54">C47</f>
        <v>1</v>
      </c>
      <c r="D125" s="41">
        <f t="shared" si="54"/>
        <v>1</v>
      </c>
      <c r="E125" s="41">
        <f t="shared" si="54"/>
        <v>0</v>
      </c>
      <c r="F125" s="41">
        <f t="shared" si="54"/>
        <v>0</v>
      </c>
      <c r="G125" s="41">
        <f t="shared" si="54"/>
        <v>0</v>
      </c>
      <c r="H125" s="41">
        <f t="shared" si="54"/>
        <v>0</v>
      </c>
      <c r="I125" s="41">
        <f t="shared" si="54"/>
        <v>0</v>
      </c>
      <c r="J125" s="41">
        <f t="shared" si="54"/>
        <v>0</v>
      </c>
      <c r="K125" s="41">
        <f t="shared" si="54"/>
        <v>0</v>
      </c>
      <c r="L125" s="41">
        <f t="shared" si="54"/>
        <v>0</v>
      </c>
      <c r="M125" s="41">
        <f t="shared" si="54"/>
        <v>0</v>
      </c>
      <c r="N125" s="41">
        <f t="shared" si="54"/>
        <v>0</v>
      </c>
      <c r="O125" s="41">
        <f t="shared" si="54"/>
        <v>0</v>
      </c>
      <c r="P125" s="41">
        <f t="shared" si="54"/>
        <v>0</v>
      </c>
      <c r="Q125" s="41">
        <f t="shared" si="54"/>
        <v>0</v>
      </c>
      <c r="R125" s="41">
        <f t="shared" si="54"/>
        <v>0</v>
      </c>
      <c r="S125" s="41">
        <f t="shared" si="54"/>
        <v>0</v>
      </c>
      <c r="T125" s="41">
        <f t="shared" si="54"/>
        <v>0</v>
      </c>
      <c r="U125" s="41">
        <f t="shared" si="54"/>
        <v>0</v>
      </c>
      <c r="V125" s="41">
        <f t="shared" si="54"/>
        <v>0</v>
      </c>
    </row>
    <row r="126" spans="1:22" x14ac:dyDescent="0.25">
      <c r="A126" s="32" t="s">
        <v>38</v>
      </c>
      <c r="B126" s="33" t="s">
        <v>41</v>
      </c>
      <c r="C126" s="41">
        <f t="shared" ref="C126:V126" si="55">C48</f>
        <v>1</v>
      </c>
      <c r="D126" s="41">
        <f t="shared" si="55"/>
        <v>0</v>
      </c>
      <c r="E126" s="41">
        <f t="shared" si="55"/>
        <v>0</v>
      </c>
      <c r="F126" s="41">
        <f t="shared" si="55"/>
        <v>0</v>
      </c>
      <c r="G126" s="41">
        <f t="shared" si="55"/>
        <v>0</v>
      </c>
      <c r="H126" s="41">
        <f t="shared" si="55"/>
        <v>0</v>
      </c>
      <c r="I126" s="41">
        <f t="shared" si="55"/>
        <v>0</v>
      </c>
      <c r="J126" s="41">
        <f t="shared" si="55"/>
        <v>0</v>
      </c>
      <c r="K126" s="41">
        <f t="shared" si="55"/>
        <v>0</v>
      </c>
      <c r="L126" s="41">
        <f t="shared" si="55"/>
        <v>0</v>
      </c>
      <c r="M126" s="41">
        <f t="shared" si="55"/>
        <v>0</v>
      </c>
      <c r="N126" s="41">
        <f t="shared" si="55"/>
        <v>0</v>
      </c>
      <c r="O126" s="41">
        <f t="shared" si="55"/>
        <v>0</v>
      </c>
      <c r="P126" s="41">
        <f t="shared" si="55"/>
        <v>0</v>
      </c>
      <c r="Q126" s="41">
        <f t="shared" si="55"/>
        <v>0</v>
      </c>
      <c r="R126" s="41">
        <f t="shared" si="55"/>
        <v>0</v>
      </c>
      <c r="S126" s="41">
        <f t="shared" si="55"/>
        <v>0</v>
      </c>
      <c r="T126" s="41">
        <f t="shared" si="55"/>
        <v>0</v>
      </c>
      <c r="U126" s="41">
        <f t="shared" si="55"/>
        <v>0</v>
      </c>
      <c r="V126" s="41">
        <f t="shared" si="55"/>
        <v>0</v>
      </c>
    </row>
    <row r="127" spans="1:22" x14ac:dyDescent="0.25">
      <c r="A127" s="91" t="str">
        <f t="shared" ref="A127:B134" si="56">A49</f>
        <v>New</v>
      </c>
      <c r="B127" s="91" t="str">
        <f t="shared" si="56"/>
        <v>Human Space Flight</v>
      </c>
      <c r="C127" s="23">
        <f>New_missions!C14+New_missions!C38</f>
        <v>-0.5</v>
      </c>
      <c r="D127" s="23">
        <f>New_missions!D14+New_missions!D38</f>
        <v>-1</v>
      </c>
      <c r="E127" s="23">
        <f>New_missions!E14+New_missions!E38</f>
        <v>-1.5</v>
      </c>
      <c r="F127" s="23">
        <f>New_missions!F14+New_missions!F38</f>
        <v>-2</v>
      </c>
      <c r="G127" s="23">
        <f>New_missions!G14+New_missions!G38</f>
        <v>-2.5</v>
      </c>
      <c r="H127" s="23">
        <f>New_missions!H14+New_missions!H38</f>
        <v>-3</v>
      </c>
      <c r="I127" s="23">
        <f>New_missions!I14+New_missions!I38</f>
        <v>-3.5</v>
      </c>
      <c r="J127" s="23">
        <f>New_missions!J14+New_missions!J38</f>
        <v>-4</v>
      </c>
      <c r="K127" s="23">
        <f>New_missions!K14+New_missions!K38</f>
        <v>-4.5</v>
      </c>
      <c r="L127" s="23">
        <f>New_missions!L14+New_missions!L38</f>
        <v>-5</v>
      </c>
      <c r="M127" s="23">
        <f>New_missions!M14+New_missions!M38</f>
        <v>-3</v>
      </c>
      <c r="N127" s="23">
        <f>New_missions!N14+New_missions!N38</f>
        <v>-3</v>
      </c>
      <c r="O127" s="23">
        <f>New_missions!O14+New_missions!O38</f>
        <v>-3</v>
      </c>
      <c r="P127" s="23">
        <f>New_missions!P14+New_missions!P38</f>
        <v>-3</v>
      </c>
      <c r="Q127" s="23">
        <f>New_missions!Q14+New_missions!Q38</f>
        <v>-3</v>
      </c>
      <c r="R127" s="23">
        <f>New_missions!R14+New_missions!R38</f>
        <v>-3</v>
      </c>
      <c r="S127" s="23">
        <f>New_missions!S14+New_missions!S38</f>
        <v>-3</v>
      </c>
      <c r="T127" s="23">
        <f>New_missions!T14+New_missions!T38</f>
        <v>-3</v>
      </c>
      <c r="U127" s="23">
        <f>New_missions!U14+New_missions!U38</f>
        <v>-3</v>
      </c>
      <c r="V127" s="23">
        <f>New_missions!V14+New_missions!V38</f>
        <v>-3</v>
      </c>
    </row>
    <row r="128" spans="1:22" x14ac:dyDescent="0.25">
      <c r="A128" s="91" t="str">
        <f t="shared" si="56"/>
        <v>New</v>
      </c>
      <c r="B128" s="91" t="str">
        <f t="shared" si="56"/>
        <v>Near Earth Robotic - LEO Science</v>
      </c>
      <c r="C128" s="23">
        <f>New_missions!C15+New_missions!C39</f>
        <v>-0.1</v>
      </c>
      <c r="D128" s="23">
        <f>New_missions!D15+New_missions!D39</f>
        <v>1.8</v>
      </c>
      <c r="E128" s="23">
        <f>New_missions!E15+New_missions!E39</f>
        <v>2.7</v>
      </c>
      <c r="F128" s="23">
        <f>New_missions!F15+New_missions!F39</f>
        <v>4.5999999999999996</v>
      </c>
      <c r="G128" s="23">
        <f>New_missions!G15+New_missions!G39</f>
        <v>7.5</v>
      </c>
      <c r="H128" s="23">
        <f>New_missions!H15+New_missions!H39</f>
        <v>10.4</v>
      </c>
      <c r="I128" s="23">
        <f>New_missions!I15+New_missions!I39</f>
        <v>13.3</v>
      </c>
      <c r="J128" s="23">
        <f>New_missions!J15+New_missions!J39</f>
        <v>15.2</v>
      </c>
      <c r="K128" s="23">
        <f>New_missions!K15+New_missions!K39</f>
        <v>15.1</v>
      </c>
      <c r="L128" s="23">
        <f>New_missions!L15+New_missions!L39</f>
        <v>15</v>
      </c>
      <c r="M128" s="23">
        <f>New_missions!M15+New_missions!M39</f>
        <v>15</v>
      </c>
      <c r="N128" s="23">
        <f>New_missions!N15+New_missions!N39</f>
        <v>15</v>
      </c>
      <c r="O128" s="23">
        <f>New_missions!O15+New_missions!O39</f>
        <v>15</v>
      </c>
      <c r="P128" s="23">
        <f>New_missions!P15+New_missions!P39</f>
        <v>15</v>
      </c>
      <c r="Q128" s="23">
        <f>New_missions!Q15+New_missions!Q39</f>
        <v>15</v>
      </c>
      <c r="R128" s="23">
        <f>New_missions!R15+New_missions!R39</f>
        <v>15</v>
      </c>
      <c r="S128" s="23">
        <f>New_missions!S15+New_missions!S39</f>
        <v>15</v>
      </c>
      <c r="T128" s="23">
        <f>New_missions!T15+New_missions!T39</f>
        <v>15</v>
      </c>
      <c r="U128" s="23">
        <f>New_missions!U15+New_missions!U39</f>
        <v>15</v>
      </c>
      <c r="V128" s="23">
        <f>New_missions!V15+New_missions!V39</f>
        <v>15</v>
      </c>
    </row>
    <row r="129" spans="1:22" x14ac:dyDescent="0.25">
      <c r="A129" s="91" t="str">
        <f t="shared" si="56"/>
        <v>New</v>
      </c>
      <c r="B129" s="91" t="str">
        <f t="shared" si="56"/>
        <v>Near Earth Robotic - GEO and Near Earth</v>
      </c>
      <c r="C129" s="23">
        <f>New_missions!C16+New_missions!C40</f>
        <v>-0.1</v>
      </c>
      <c r="D129" s="23">
        <f>New_missions!D16+New_missions!D40</f>
        <v>-0.2</v>
      </c>
      <c r="E129" s="23">
        <f>New_missions!E16+New_missions!E40</f>
        <v>3.7</v>
      </c>
      <c r="F129" s="23">
        <f>New_missions!F16+New_missions!F40</f>
        <v>3.6</v>
      </c>
      <c r="G129" s="23">
        <f>New_missions!G16+New_missions!G40</f>
        <v>3.5</v>
      </c>
      <c r="H129" s="23">
        <f>New_missions!H16+New_missions!H40</f>
        <v>3.4</v>
      </c>
      <c r="I129" s="23">
        <f>New_missions!I16+New_missions!I40</f>
        <v>3.3</v>
      </c>
      <c r="J129" s="23">
        <f>New_missions!J16+New_missions!J40</f>
        <v>3.2</v>
      </c>
      <c r="K129" s="23">
        <f>New_missions!K16+New_missions!K40</f>
        <v>3.1</v>
      </c>
      <c r="L129" s="23">
        <f>New_missions!L16+New_missions!L40</f>
        <v>3</v>
      </c>
      <c r="M129" s="23">
        <f>New_missions!M16+New_missions!M40</f>
        <v>3</v>
      </c>
      <c r="N129" s="23">
        <f>New_missions!N16+New_missions!N40</f>
        <v>3</v>
      </c>
      <c r="O129" s="23">
        <f>New_missions!O16+New_missions!O40</f>
        <v>3</v>
      </c>
      <c r="P129" s="23">
        <f>New_missions!P16+New_missions!P40</f>
        <v>3</v>
      </c>
      <c r="Q129" s="23">
        <f>New_missions!Q16+New_missions!Q40</f>
        <v>3</v>
      </c>
      <c r="R129" s="23">
        <f>New_missions!R16+New_missions!R40</f>
        <v>3</v>
      </c>
      <c r="S129" s="23">
        <f>New_missions!S16+New_missions!S40</f>
        <v>3</v>
      </c>
      <c r="T129" s="23">
        <f>New_missions!T16+New_missions!T40</f>
        <v>3</v>
      </c>
      <c r="U129" s="23">
        <f>New_missions!U16+New_missions!U40</f>
        <v>3</v>
      </c>
      <c r="V129" s="23">
        <f>New_missions!V16+New_missions!V40</f>
        <v>3</v>
      </c>
    </row>
    <row r="130" spans="1:22" x14ac:dyDescent="0.25">
      <c r="A130" s="91" t="str">
        <f t="shared" si="56"/>
        <v>New</v>
      </c>
      <c r="B130" s="91" t="str">
        <f t="shared" si="56"/>
        <v>Deep Space Robotic</v>
      </c>
      <c r="C130" s="23">
        <f>New_missions!C17+New_missions!C41</f>
        <v>0</v>
      </c>
      <c r="D130" s="23">
        <f>New_missions!D17+New_missions!D41</f>
        <v>0</v>
      </c>
      <c r="E130" s="23">
        <f>New_missions!E17+New_missions!E41</f>
        <v>0</v>
      </c>
      <c r="F130" s="23">
        <f>New_missions!F17+New_missions!F41</f>
        <v>0</v>
      </c>
      <c r="G130" s="23">
        <f>New_missions!G17+New_missions!G41</f>
        <v>0</v>
      </c>
      <c r="H130" s="23">
        <f>New_missions!H17+New_missions!H41</f>
        <v>0</v>
      </c>
      <c r="I130" s="23">
        <f>New_missions!I17+New_missions!I41</f>
        <v>0</v>
      </c>
      <c r="J130" s="23">
        <f>New_missions!J17+New_missions!J41</f>
        <v>0</v>
      </c>
      <c r="K130" s="23">
        <f>New_missions!K17+New_missions!K41</f>
        <v>0</v>
      </c>
      <c r="L130" s="23">
        <f>New_missions!L17+New_missions!L41</f>
        <v>0</v>
      </c>
      <c r="M130" s="23">
        <f>New_missions!M17+New_missions!M41</f>
        <v>0</v>
      </c>
      <c r="N130" s="23">
        <f>New_missions!N17+New_missions!N41</f>
        <v>0</v>
      </c>
      <c r="O130" s="23">
        <f>New_missions!O17+New_missions!O41</f>
        <v>0</v>
      </c>
      <c r="P130" s="23">
        <f>New_missions!P17+New_missions!P41</f>
        <v>0</v>
      </c>
      <c r="Q130" s="23">
        <f>New_missions!Q17+New_missions!Q41</f>
        <v>0</v>
      </c>
      <c r="R130" s="23">
        <f>New_missions!R17+New_missions!R41</f>
        <v>0</v>
      </c>
      <c r="S130" s="23">
        <f>New_missions!S17+New_missions!S41</f>
        <v>0</v>
      </c>
      <c r="T130" s="23">
        <f>New_missions!T17+New_missions!T41</f>
        <v>0</v>
      </c>
      <c r="U130" s="23">
        <f>New_missions!U17+New_missions!U41</f>
        <v>0</v>
      </c>
      <c r="V130" s="23">
        <f>New_missions!V17+New_missions!V41</f>
        <v>0</v>
      </c>
    </row>
    <row r="131" spans="1:22" x14ac:dyDescent="0.25">
      <c r="A131" s="91" t="str">
        <f t="shared" si="56"/>
        <v>New</v>
      </c>
      <c r="B131" s="91" t="str">
        <f t="shared" si="56"/>
        <v>Near Earth Robotic - Low Latency &amp; Complex Needs</v>
      </c>
      <c r="C131" s="23">
        <f>New_missions!C18+New_missions!C42</f>
        <v>-0.1</v>
      </c>
      <c r="D131" s="23">
        <f>New_missions!D18+New_missions!D42</f>
        <v>-0.2</v>
      </c>
      <c r="E131" s="23">
        <f>New_missions!E18+New_missions!E42</f>
        <v>-0.30000000000000004</v>
      </c>
      <c r="F131" s="23">
        <f>New_missions!F18+New_missions!F42</f>
        <v>-0.4</v>
      </c>
      <c r="G131" s="23">
        <f>New_missions!G18+New_missions!G42</f>
        <v>0.5</v>
      </c>
      <c r="H131" s="23">
        <f>New_missions!H18+New_missions!H42</f>
        <v>0.4</v>
      </c>
      <c r="I131" s="23">
        <f>New_missions!I18+New_missions!I42</f>
        <v>0.30000000000000004</v>
      </c>
      <c r="J131" s="23">
        <f>New_missions!J18+New_missions!J42</f>
        <v>0.20000000000000007</v>
      </c>
      <c r="K131" s="23">
        <f>New_missions!K18+New_missions!K42</f>
        <v>0.10000000000000009</v>
      </c>
      <c r="L131" s="23">
        <f>New_missions!L18+New_missions!L42</f>
        <v>0</v>
      </c>
      <c r="M131" s="23">
        <f>New_missions!M18+New_missions!M42</f>
        <v>0</v>
      </c>
      <c r="N131" s="23">
        <f>New_missions!N18+New_missions!N42</f>
        <v>0</v>
      </c>
      <c r="O131" s="23">
        <f>New_missions!O18+New_missions!O42</f>
        <v>0</v>
      </c>
      <c r="P131" s="23">
        <f>New_missions!P18+New_missions!P42</f>
        <v>0</v>
      </c>
      <c r="Q131" s="23">
        <f>New_missions!Q18+New_missions!Q42</f>
        <v>0</v>
      </c>
      <c r="R131" s="23">
        <f>New_missions!R18+New_missions!R42</f>
        <v>0</v>
      </c>
      <c r="S131" s="23">
        <f>New_missions!S18+New_missions!S42</f>
        <v>0</v>
      </c>
      <c r="T131" s="23">
        <f>New_missions!T18+New_missions!T42</f>
        <v>0</v>
      </c>
      <c r="U131" s="23">
        <f>New_missions!U18+New_missions!U42</f>
        <v>0</v>
      </c>
      <c r="V131" s="23">
        <f>New_missions!V18+New_missions!V42</f>
        <v>0</v>
      </c>
    </row>
    <row r="132" spans="1:22" x14ac:dyDescent="0.25">
      <c r="A132" s="91" t="str">
        <f t="shared" si="56"/>
        <v>New</v>
      </c>
      <c r="B132" s="91" t="str">
        <f t="shared" si="56"/>
        <v>Mission Operations</v>
      </c>
      <c r="C132" s="23">
        <f>New_missions!C19+New_missions!C43</f>
        <v>0</v>
      </c>
      <c r="D132" s="23">
        <f>New_missions!D19+New_missions!D43</f>
        <v>0</v>
      </c>
      <c r="E132" s="23">
        <f>New_missions!E19+New_missions!E43</f>
        <v>0</v>
      </c>
      <c r="F132" s="23">
        <f>New_missions!F19+New_missions!F43</f>
        <v>0</v>
      </c>
      <c r="G132" s="23">
        <f>New_missions!G19+New_missions!G43</f>
        <v>0</v>
      </c>
      <c r="H132" s="23">
        <f>New_missions!H19+New_missions!H43</f>
        <v>0</v>
      </c>
      <c r="I132" s="23">
        <f>New_missions!I19+New_missions!I43</f>
        <v>0</v>
      </c>
      <c r="J132" s="23">
        <f>New_missions!J19+New_missions!J43</f>
        <v>0</v>
      </c>
      <c r="K132" s="23">
        <f>New_missions!K19+New_missions!K43</f>
        <v>0</v>
      </c>
      <c r="L132" s="23">
        <f>New_missions!L19+New_missions!L43</f>
        <v>0</v>
      </c>
      <c r="M132" s="23">
        <f>New_missions!M19+New_missions!M43</f>
        <v>0</v>
      </c>
      <c r="N132" s="23">
        <f>New_missions!N19+New_missions!N43</f>
        <v>0</v>
      </c>
      <c r="O132" s="23">
        <f>New_missions!O19+New_missions!O43</f>
        <v>0</v>
      </c>
      <c r="P132" s="23">
        <f>New_missions!P19+New_missions!P43</f>
        <v>0</v>
      </c>
      <c r="Q132" s="23">
        <f>New_missions!Q19+New_missions!Q43</f>
        <v>0</v>
      </c>
      <c r="R132" s="23">
        <f>New_missions!R19+New_missions!R43</f>
        <v>0</v>
      </c>
      <c r="S132" s="23">
        <f>New_missions!S19+New_missions!S43</f>
        <v>0</v>
      </c>
      <c r="T132" s="23">
        <f>New_missions!T19+New_missions!T43</f>
        <v>0</v>
      </c>
      <c r="U132" s="23">
        <f>New_missions!U19+New_missions!U43</f>
        <v>0</v>
      </c>
      <c r="V132" s="23">
        <f>New_missions!V19+New_missions!V43</f>
        <v>0</v>
      </c>
    </row>
    <row r="133" spans="1:22" x14ac:dyDescent="0.25">
      <c r="A133" s="91" t="str">
        <f t="shared" si="56"/>
        <v>New</v>
      </c>
      <c r="B133" s="91" t="str">
        <f t="shared" si="56"/>
        <v>Launch Events</v>
      </c>
      <c r="C133" s="23" t="e">
        <f>New_missions!C20+New_missions!C44</f>
        <v>#REF!</v>
      </c>
      <c r="D133" s="23" t="e">
        <f>New_missions!D20+New_missions!D44</f>
        <v>#REF!</v>
      </c>
      <c r="E133" s="23" t="e">
        <f>New_missions!E20+New_missions!E44</f>
        <v>#REF!</v>
      </c>
      <c r="F133" s="23" t="e">
        <f>New_missions!F20+New_missions!F44</f>
        <v>#REF!</v>
      </c>
      <c r="G133" s="23" t="e">
        <f>New_missions!G20+New_missions!G44</f>
        <v>#REF!</v>
      </c>
      <c r="H133" s="23" t="e">
        <f>New_missions!H20+New_missions!H44</f>
        <v>#REF!</v>
      </c>
      <c r="I133" s="23" t="e">
        <f>New_missions!I20+New_missions!I44</f>
        <v>#REF!</v>
      </c>
      <c r="J133" s="23" t="e">
        <f>New_missions!J20+New_missions!J44</f>
        <v>#REF!</v>
      </c>
      <c r="K133" s="23" t="e">
        <f>New_missions!K20+New_missions!K44</f>
        <v>#REF!</v>
      </c>
      <c r="L133" s="23" t="e">
        <f>New_missions!L20+New_missions!L44</f>
        <v>#REF!</v>
      </c>
      <c r="M133" s="23" t="e">
        <f>New_missions!M20+New_missions!M44</f>
        <v>#REF!</v>
      </c>
      <c r="N133" s="23" t="e">
        <f>New_missions!N20+New_missions!N44</f>
        <v>#REF!</v>
      </c>
      <c r="O133" s="23" t="e">
        <f>New_missions!O20+New_missions!O44</f>
        <v>#REF!</v>
      </c>
      <c r="P133" s="23" t="e">
        <f>New_missions!P20+New_missions!P44</f>
        <v>#REF!</v>
      </c>
      <c r="Q133" s="23" t="e">
        <f>New_missions!Q20+New_missions!Q44</f>
        <v>#REF!</v>
      </c>
      <c r="R133" s="23" t="e">
        <f>New_missions!R20+New_missions!R44</f>
        <v>#REF!</v>
      </c>
      <c r="S133" s="23" t="e">
        <f>New_missions!S20+New_missions!S44</f>
        <v>#REF!</v>
      </c>
      <c r="T133" s="23" t="e">
        <f>New_missions!T20+New_missions!T44</f>
        <v>#REF!</v>
      </c>
      <c r="U133" s="23" t="e">
        <f>New_missions!U20+New_missions!U44</f>
        <v>#REF!</v>
      </c>
      <c r="V133" s="23" t="e">
        <f>New_missions!V20+New_missions!V44</f>
        <v>#REF!</v>
      </c>
    </row>
    <row r="134" spans="1:22" x14ac:dyDescent="0.25">
      <c r="A134" s="91" t="str">
        <f t="shared" si="56"/>
        <v>New</v>
      </c>
      <c r="B134" s="91" t="str">
        <f t="shared" si="56"/>
        <v>Terrestrial &amp; Aerial</v>
      </c>
      <c r="C134" s="23">
        <f>New_missions!C21+New_missions!C45</f>
        <v>-0.3</v>
      </c>
      <c r="D134" s="23">
        <f>New_missions!D21+New_missions!D45</f>
        <v>0.4</v>
      </c>
      <c r="E134" s="23">
        <f>New_missions!E21+New_missions!E45</f>
        <v>0.10000000000000009</v>
      </c>
      <c r="F134" s="23">
        <f>New_missions!F21+New_missions!F45</f>
        <v>-0.19999999999999996</v>
      </c>
      <c r="G134" s="23">
        <f>New_missions!G21+New_missions!G45</f>
        <v>-0.5</v>
      </c>
      <c r="H134" s="23">
        <f>New_missions!H21+New_missions!H45</f>
        <v>0.19999999999999996</v>
      </c>
      <c r="I134" s="23">
        <f>New_missions!I21+New_missions!I45</f>
        <v>-0.10000000000000009</v>
      </c>
      <c r="J134" s="23">
        <f>New_missions!J21+New_missions!J45</f>
        <v>-0.39999999999999991</v>
      </c>
      <c r="K134" s="23">
        <f>New_missions!K21+New_missions!K45</f>
        <v>-0.69999999999999973</v>
      </c>
      <c r="L134" s="23">
        <f>New_missions!L21+New_missions!L45</f>
        <v>-0.99999999999999956</v>
      </c>
      <c r="M134" s="23">
        <f>New_missions!M21+New_missions!M45</f>
        <v>-0.99999999999999956</v>
      </c>
      <c r="N134" s="23">
        <f>New_missions!N21+New_missions!N45</f>
        <v>-0.99999999999999956</v>
      </c>
      <c r="O134" s="23">
        <f>New_missions!O21+New_missions!O45</f>
        <v>-0.99999999999999956</v>
      </c>
      <c r="P134" s="23">
        <f>New_missions!P21+New_missions!P45</f>
        <v>-0.99999999999999956</v>
      </c>
      <c r="Q134" s="23">
        <f>New_missions!Q21+New_missions!Q45</f>
        <v>-0.99999999999999956</v>
      </c>
      <c r="R134" s="23">
        <f>New_missions!R21+New_missions!R45</f>
        <v>-0.99999999999999956</v>
      </c>
      <c r="S134" s="23">
        <f>New_missions!S21+New_missions!S45</f>
        <v>-0.99999999999999956</v>
      </c>
      <c r="T134" s="23">
        <f>New_missions!T21+New_missions!T45</f>
        <v>-0.99999999999999956</v>
      </c>
      <c r="U134" s="23">
        <f>New_missions!U21+New_missions!U45</f>
        <v>-0.99999999999999956</v>
      </c>
      <c r="V134" s="23">
        <f>New_missions!V21+New_missions!V45</f>
        <v>-0.99999999999999956</v>
      </c>
    </row>
    <row r="135" spans="1:22" x14ac:dyDescent="0.25">
      <c r="A135" s="85"/>
      <c r="B135" s="92"/>
    </row>
    <row r="136" spans="1:22" x14ac:dyDescent="0.25">
      <c r="A136" s="85"/>
      <c r="B136" s="92"/>
      <c r="C136" s="94" t="e">
        <f>SUM(C80:C134)</f>
        <v>#REF!</v>
      </c>
      <c r="D136" s="94" t="e">
        <f>SUM(D80:D134)</f>
        <v>#REF!</v>
      </c>
      <c r="E136" s="94" t="e">
        <f t="shared" ref="E136:V136" si="57">SUM(E80:E134)</f>
        <v>#REF!</v>
      </c>
      <c r="F136" s="94" t="e">
        <f t="shared" si="57"/>
        <v>#REF!</v>
      </c>
      <c r="G136" s="94" t="e">
        <f t="shared" si="57"/>
        <v>#REF!</v>
      </c>
      <c r="H136" s="94" t="e">
        <f t="shared" si="57"/>
        <v>#REF!</v>
      </c>
      <c r="I136" s="94" t="e">
        <f t="shared" si="57"/>
        <v>#REF!</v>
      </c>
      <c r="J136" s="94" t="e">
        <f t="shared" si="57"/>
        <v>#REF!</v>
      </c>
      <c r="K136" s="94" t="e">
        <f>SUM(K80:K134)</f>
        <v>#REF!</v>
      </c>
      <c r="L136" s="95" t="e">
        <f t="shared" si="57"/>
        <v>#REF!</v>
      </c>
      <c r="M136" s="94" t="e">
        <f t="shared" si="57"/>
        <v>#REF!</v>
      </c>
      <c r="N136" s="94" t="e">
        <f t="shared" si="57"/>
        <v>#REF!</v>
      </c>
      <c r="O136" s="94" t="e">
        <f t="shared" si="57"/>
        <v>#REF!</v>
      </c>
      <c r="P136" s="94" t="e">
        <f t="shared" si="57"/>
        <v>#REF!</v>
      </c>
      <c r="Q136" s="94" t="e">
        <f t="shared" si="57"/>
        <v>#REF!</v>
      </c>
      <c r="R136" s="94" t="e">
        <f t="shared" si="57"/>
        <v>#REF!</v>
      </c>
      <c r="S136" s="94" t="e">
        <f t="shared" si="57"/>
        <v>#REF!</v>
      </c>
      <c r="T136" s="94" t="e">
        <f t="shared" si="57"/>
        <v>#REF!</v>
      </c>
      <c r="U136" s="94" t="e">
        <f t="shared" si="57"/>
        <v>#REF!</v>
      </c>
      <c r="V136" s="94" t="e">
        <f t="shared" si="57"/>
        <v>#REF!</v>
      </c>
    </row>
    <row r="137" spans="1:22" ht="14.4" thickBot="1" x14ac:dyDescent="0.3">
      <c r="B137" s="2" t="s">
        <v>76</v>
      </c>
    </row>
    <row r="138" spans="1:22" x14ac:dyDescent="0.25">
      <c r="B138" s="57" t="s">
        <v>82</v>
      </c>
      <c r="C138" s="58">
        <f>C79</f>
        <v>2021</v>
      </c>
      <c r="D138" s="58">
        <f t="shared" ref="D138:V138" si="58">D79</f>
        <v>2022</v>
      </c>
      <c r="E138" s="58">
        <f t="shared" si="58"/>
        <v>2023</v>
      </c>
      <c r="F138" s="58">
        <f t="shared" si="58"/>
        <v>2024</v>
      </c>
      <c r="G138" s="58">
        <f t="shared" si="58"/>
        <v>2025</v>
      </c>
      <c r="H138" s="58">
        <f t="shared" si="58"/>
        <v>2026</v>
      </c>
      <c r="I138" s="58">
        <f t="shared" si="58"/>
        <v>2027</v>
      </c>
      <c r="J138" s="58">
        <f t="shared" si="58"/>
        <v>2028</v>
      </c>
      <c r="K138" s="58">
        <f t="shared" si="58"/>
        <v>2029</v>
      </c>
      <c r="L138" s="75">
        <f t="shared" si="58"/>
        <v>2030</v>
      </c>
      <c r="M138" s="76">
        <f t="shared" si="58"/>
        <v>2031</v>
      </c>
      <c r="N138" s="58">
        <f t="shared" si="58"/>
        <v>2032</v>
      </c>
      <c r="O138" s="58">
        <f t="shared" si="58"/>
        <v>2033</v>
      </c>
      <c r="P138" s="58">
        <f t="shared" si="58"/>
        <v>2034</v>
      </c>
      <c r="Q138" s="58">
        <f t="shared" si="58"/>
        <v>2035</v>
      </c>
      <c r="R138" s="58">
        <f t="shared" si="58"/>
        <v>2036</v>
      </c>
      <c r="S138" s="58">
        <f t="shared" si="58"/>
        <v>2037</v>
      </c>
      <c r="T138" s="58">
        <f t="shared" si="58"/>
        <v>2038</v>
      </c>
      <c r="U138" s="58">
        <f t="shared" si="58"/>
        <v>2039</v>
      </c>
      <c r="V138" s="58">
        <f t="shared" si="58"/>
        <v>2040</v>
      </c>
    </row>
    <row r="139" spans="1:22" x14ac:dyDescent="0.25">
      <c r="B139" s="36" t="s">
        <v>43</v>
      </c>
      <c r="C139" s="37">
        <f t="shared" ref="C139:C146" si="59">SUMIF($B$80:$B$134,$B139,C$80:C$134)</f>
        <v>5.5</v>
      </c>
      <c r="D139" s="37">
        <f t="shared" ref="D139:V146" si="60">SUMIF($B$80:$B$134,$B139,D$80:D$134)</f>
        <v>5</v>
      </c>
      <c r="E139" s="37">
        <f t="shared" si="60"/>
        <v>4.5</v>
      </c>
      <c r="F139" s="37">
        <f t="shared" si="60"/>
        <v>4</v>
      </c>
      <c r="G139" s="37">
        <f t="shared" si="60"/>
        <v>3.5</v>
      </c>
      <c r="H139" s="37">
        <f t="shared" si="60"/>
        <v>3</v>
      </c>
      <c r="I139" s="37">
        <f t="shared" si="60"/>
        <v>2.5</v>
      </c>
      <c r="J139" s="37">
        <f t="shared" si="60"/>
        <v>2</v>
      </c>
      <c r="K139" s="37">
        <f t="shared" si="60"/>
        <v>1.5</v>
      </c>
      <c r="L139" s="37">
        <f t="shared" si="60"/>
        <v>1</v>
      </c>
      <c r="M139" s="37">
        <f t="shared" si="60"/>
        <v>1</v>
      </c>
      <c r="N139" s="37">
        <f t="shared" si="60"/>
        <v>1</v>
      </c>
      <c r="O139" s="37">
        <f t="shared" si="60"/>
        <v>1</v>
      </c>
      <c r="P139" s="37">
        <f t="shared" si="60"/>
        <v>1</v>
      </c>
      <c r="Q139" s="37">
        <f t="shared" si="60"/>
        <v>1</v>
      </c>
      <c r="R139" s="37">
        <f t="shared" si="60"/>
        <v>1</v>
      </c>
      <c r="S139" s="37">
        <f t="shared" si="60"/>
        <v>1</v>
      </c>
      <c r="T139" s="37">
        <f t="shared" si="60"/>
        <v>1</v>
      </c>
      <c r="U139" s="37">
        <f t="shared" si="60"/>
        <v>1</v>
      </c>
      <c r="V139" s="37">
        <f t="shared" si="60"/>
        <v>1</v>
      </c>
    </row>
    <row r="140" spans="1:22" x14ac:dyDescent="0.25">
      <c r="B140" s="36" t="s">
        <v>41</v>
      </c>
      <c r="C140" s="37">
        <f t="shared" si="59"/>
        <v>16.899999999999999</v>
      </c>
      <c r="D140" s="37">
        <f t="shared" ref="D140:R140" si="61">SUMIF($B$80:$B$134,$B140,D$80:D$134)</f>
        <v>16.8</v>
      </c>
      <c r="E140" s="37">
        <f t="shared" si="61"/>
        <v>16.7</v>
      </c>
      <c r="F140" s="37">
        <f t="shared" si="61"/>
        <v>16.600000000000001</v>
      </c>
      <c r="G140" s="37">
        <f t="shared" si="61"/>
        <v>16.5</v>
      </c>
      <c r="H140" s="37">
        <f t="shared" si="61"/>
        <v>16.399999999999999</v>
      </c>
      <c r="I140" s="37">
        <f t="shared" si="61"/>
        <v>16.3</v>
      </c>
      <c r="J140" s="37">
        <f t="shared" si="61"/>
        <v>16.2</v>
      </c>
      <c r="K140" s="37">
        <f t="shared" si="61"/>
        <v>16.100000000000001</v>
      </c>
      <c r="L140" s="37">
        <f t="shared" si="61"/>
        <v>16</v>
      </c>
      <c r="M140" s="37">
        <f t="shared" si="61"/>
        <v>16</v>
      </c>
      <c r="N140" s="37">
        <f t="shared" si="61"/>
        <v>16</v>
      </c>
      <c r="O140" s="37">
        <f t="shared" si="61"/>
        <v>16</v>
      </c>
      <c r="P140" s="37">
        <f t="shared" si="61"/>
        <v>16</v>
      </c>
      <c r="Q140" s="37">
        <f t="shared" si="61"/>
        <v>16</v>
      </c>
      <c r="R140" s="37">
        <f t="shared" si="61"/>
        <v>16</v>
      </c>
      <c r="S140" s="37">
        <f t="shared" si="60"/>
        <v>16</v>
      </c>
      <c r="T140" s="37">
        <f t="shared" si="60"/>
        <v>16</v>
      </c>
      <c r="U140" s="37">
        <f t="shared" si="60"/>
        <v>16</v>
      </c>
      <c r="V140" s="37">
        <f t="shared" si="60"/>
        <v>16</v>
      </c>
    </row>
    <row r="141" spans="1:22" x14ac:dyDescent="0.25">
      <c r="B141" s="36" t="s">
        <v>40</v>
      </c>
      <c r="C141" s="37">
        <f t="shared" si="59"/>
        <v>7.9</v>
      </c>
      <c r="D141" s="37">
        <f t="shared" si="60"/>
        <v>7.8</v>
      </c>
      <c r="E141" s="37">
        <f t="shared" si="60"/>
        <v>7.7</v>
      </c>
      <c r="F141" s="37">
        <f t="shared" si="60"/>
        <v>7.6</v>
      </c>
      <c r="G141" s="37">
        <f t="shared" si="60"/>
        <v>7.5</v>
      </c>
      <c r="H141" s="37">
        <f t="shared" si="60"/>
        <v>7.4</v>
      </c>
      <c r="I141" s="37">
        <f t="shared" si="60"/>
        <v>7.3</v>
      </c>
      <c r="J141" s="37">
        <f t="shared" si="60"/>
        <v>7.2</v>
      </c>
      <c r="K141" s="37">
        <f t="shared" si="60"/>
        <v>7.1</v>
      </c>
      <c r="L141" s="37">
        <f t="shared" si="60"/>
        <v>7</v>
      </c>
      <c r="M141" s="37">
        <f t="shared" si="60"/>
        <v>7</v>
      </c>
      <c r="N141" s="37">
        <f t="shared" si="60"/>
        <v>7</v>
      </c>
      <c r="O141" s="37">
        <f t="shared" si="60"/>
        <v>7</v>
      </c>
      <c r="P141" s="37">
        <f t="shared" si="60"/>
        <v>7</v>
      </c>
      <c r="Q141" s="37">
        <f t="shared" si="60"/>
        <v>7</v>
      </c>
      <c r="R141" s="37">
        <f t="shared" si="60"/>
        <v>7</v>
      </c>
      <c r="S141" s="37">
        <f t="shared" si="60"/>
        <v>7</v>
      </c>
      <c r="T141" s="37">
        <f t="shared" si="60"/>
        <v>7</v>
      </c>
      <c r="U141" s="37">
        <f t="shared" si="60"/>
        <v>7</v>
      </c>
      <c r="V141" s="37">
        <f t="shared" si="60"/>
        <v>7</v>
      </c>
    </row>
    <row r="142" spans="1:22" x14ac:dyDescent="0.25">
      <c r="B142" s="36" t="s">
        <v>80</v>
      </c>
      <c r="C142" s="37">
        <f t="shared" si="59"/>
        <v>0</v>
      </c>
      <c r="D142" s="37">
        <f t="shared" si="60"/>
        <v>0</v>
      </c>
      <c r="E142" s="37">
        <f t="shared" si="60"/>
        <v>0</v>
      </c>
      <c r="F142" s="37">
        <f t="shared" si="60"/>
        <v>0</v>
      </c>
      <c r="G142" s="37">
        <f t="shared" si="60"/>
        <v>0</v>
      </c>
      <c r="H142" s="37">
        <f t="shared" si="60"/>
        <v>0</v>
      </c>
      <c r="I142" s="37">
        <f t="shared" si="60"/>
        <v>0</v>
      </c>
      <c r="J142" s="37">
        <f t="shared" si="60"/>
        <v>0</v>
      </c>
      <c r="K142" s="37">
        <f t="shared" si="60"/>
        <v>0</v>
      </c>
      <c r="L142" s="37">
        <f t="shared" si="60"/>
        <v>0</v>
      </c>
      <c r="M142" s="37">
        <f t="shared" si="60"/>
        <v>0</v>
      </c>
      <c r="N142" s="37">
        <f t="shared" si="60"/>
        <v>0</v>
      </c>
      <c r="O142" s="37">
        <f t="shared" si="60"/>
        <v>0</v>
      </c>
      <c r="P142" s="37">
        <f t="shared" si="60"/>
        <v>0</v>
      </c>
      <c r="Q142" s="37">
        <f t="shared" si="60"/>
        <v>0</v>
      </c>
      <c r="R142" s="37">
        <f t="shared" si="60"/>
        <v>0</v>
      </c>
      <c r="S142" s="37">
        <f t="shared" si="60"/>
        <v>0</v>
      </c>
      <c r="T142" s="37">
        <f t="shared" si="60"/>
        <v>0</v>
      </c>
      <c r="U142" s="37">
        <f t="shared" si="60"/>
        <v>0</v>
      </c>
      <c r="V142" s="37">
        <f t="shared" si="60"/>
        <v>0</v>
      </c>
    </row>
    <row r="143" spans="1:22" x14ac:dyDescent="0.25">
      <c r="B143" s="36" t="s">
        <v>44</v>
      </c>
      <c r="C143" s="37">
        <f t="shared" si="59"/>
        <v>0.9</v>
      </c>
      <c r="D143" s="37">
        <f t="shared" si="60"/>
        <v>0.8</v>
      </c>
      <c r="E143" s="37">
        <f t="shared" si="60"/>
        <v>0.7</v>
      </c>
      <c r="F143" s="37">
        <f t="shared" si="60"/>
        <v>0.6</v>
      </c>
      <c r="G143" s="37">
        <f t="shared" si="60"/>
        <v>0.5</v>
      </c>
      <c r="H143" s="37">
        <f t="shared" si="60"/>
        <v>0.4</v>
      </c>
      <c r="I143" s="37">
        <f t="shared" si="60"/>
        <v>0.30000000000000004</v>
      </c>
      <c r="J143" s="37">
        <f t="shared" si="60"/>
        <v>0.20000000000000007</v>
      </c>
      <c r="K143" s="37">
        <f t="shared" si="60"/>
        <v>0.10000000000000009</v>
      </c>
      <c r="L143" s="37">
        <f t="shared" si="60"/>
        <v>0</v>
      </c>
      <c r="M143" s="37">
        <f t="shared" si="60"/>
        <v>0</v>
      </c>
      <c r="N143" s="37">
        <f t="shared" si="60"/>
        <v>0</v>
      </c>
      <c r="O143" s="37">
        <f t="shared" si="60"/>
        <v>0</v>
      </c>
      <c r="P143" s="37">
        <f t="shared" si="60"/>
        <v>0</v>
      </c>
      <c r="Q143" s="37">
        <f t="shared" si="60"/>
        <v>0</v>
      </c>
      <c r="R143" s="37">
        <f t="shared" si="60"/>
        <v>0</v>
      </c>
      <c r="S143" s="37">
        <f t="shared" si="60"/>
        <v>0</v>
      </c>
      <c r="T143" s="37">
        <f t="shared" si="60"/>
        <v>0</v>
      </c>
      <c r="U143" s="37">
        <f t="shared" si="60"/>
        <v>0</v>
      </c>
      <c r="V143" s="37">
        <f t="shared" si="60"/>
        <v>0</v>
      </c>
    </row>
    <row r="144" spans="1:22" x14ac:dyDescent="0.25">
      <c r="B144" s="36" t="s">
        <v>81</v>
      </c>
      <c r="C144" s="37">
        <f t="shared" si="59"/>
        <v>0</v>
      </c>
      <c r="D144" s="37">
        <f t="shared" si="60"/>
        <v>0</v>
      </c>
      <c r="E144" s="37">
        <f t="shared" si="60"/>
        <v>0</v>
      </c>
      <c r="F144" s="37">
        <f t="shared" si="60"/>
        <v>0</v>
      </c>
      <c r="G144" s="37">
        <f t="shared" si="60"/>
        <v>0</v>
      </c>
      <c r="H144" s="37">
        <f t="shared" si="60"/>
        <v>0</v>
      </c>
      <c r="I144" s="37">
        <f t="shared" si="60"/>
        <v>0</v>
      </c>
      <c r="J144" s="37">
        <f t="shared" si="60"/>
        <v>0</v>
      </c>
      <c r="K144" s="37">
        <f t="shared" si="60"/>
        <v>0</v>
      </c>
      <c r="L144" s="37">
        <f t="shared" si="60"/>
        <v>0</v>
      </c>
      <c r="M144" s="37">
        <f t="shared" si="60"/>
        <v>0</v>
      </c>
      <c r="N144" s="37">
        <f t="shared" si="60"/>
        <v>0</v>
      </c>
      <c r="O144" s="37">
        <f t="shared" si="60"/>
        <v>0</v>
      </c>
      <c r="P144" s="37">
        <f t="shared" si="60"/>
        <v>0</v>
      </c>
      <c r="Q144" s="37">
        <f t="shared" si="60"/>
        <v>0</v>
      </c>
      <c r="R144" s="37">
        <f t="shared" si="60"/>
        <v>0</v>
      </c>
      <c r="S144" s="37">
        <f t="shared" si="60"/>
        <v>0</v>
      </c>
      <c r="T144" s="37">
        <f t="shared" si="60"/>
        <v>0</v>
      </c>
      <c r="U144" s="37">
        <f t="shared" si="60"/>
        <v>0</v>
      </c>
      <c r="V144" s="37">
        <f t="shared" si="60"/>
        <v>0</v>
      </c>
    </row>
    <row r="145" spans="1:22" x14ac:dyDescent="0.25">
      <c r="B145" s="36" t="s">
        <v>42</v>
      </c>
      <c r="C145" s="37" t="e">
        <f t="shared" si="59"/>
        <v>#REF!</v>
      </c>
      <c r="D145" s="37" t="e">
        <f t="shared" si="60"/>
        <v>#REF!</v>
      </c>
      <c r="E145" s="37" t="e">
        <f t="shared" si="60"/>
        <v>#REF!</v>
      </c>
      <c r="F145" s="37" t="e">
        <f t="shared" si="60"/>
        <v>#REF!</v>
      </c>
      <c r="G145" s="37" t="e">
        <f t="shared" si="60"/>
        <v>#REF!</v>
      </c>
      <c r="H145" s="37" t="e">
        <f t="shared" si="60"/>
        <v>#REF!</v>
      </c>
      <c r="I145" s="37" t="e">
        <f t="shared" si="60"/>
        <v>#REF!</v>
      </c>
      <c r="J145" s="37" t="e">
        <f t="shared" si="60"/>
        <v>#REF!</v>
      </c>
      <c r="K145" s="37" t="e">
        <f t="shared" si="60"/>
        <v>#REF!</v>
      </c>
      <c r="L145" s="37" t="e">
        <f t="shared" si="60"/>
        <v>#REF!</v>
      </c>
      <c r="M145" s="37" t="e">
        <f t="shared" si="60"/>
        <v>#REF!</v>
      </c>
      <c r="N145" s="37" t="e">
        <f t="shared" si="60"/>
        <v>#REF!</v>
      </c>
      <c r="O145" s="37" t="e">
        <f t="shared" si="60"/>
        <v>#REF!</v>
      </c>
      <c r="P145" s="37" t="e">
        <f t="shared" si="60"/>
        <v>#REF!</v>
      </c>
      <c r="Q145" s="37" t="e">
        <f t="shared" si="60"/>
        <v>#REF!</v>
      </c>
      <c r="R145" s="37" t="e">
        <f t="shared" si="60"/>
        <v>#REF!</v>
      </c>
      <c r="S145" s="37" t="e">
        <f t="shared" si="60"/>
        <v>#REF!</v>
      </c>
      <c r="T145" s="37" t="e">
        <f t="shared" si="60"/>
        <v>#REF!</v>
      </c>
      <c r="U145" s="37" t="e">
        <f t="shared" si="60"/>
        <v>#REF!</v>
      </c>
      <c r="V145" s="37" t="e">
        <f t="shared" si="60"/>
        <v>#REF!</v>
      </c>
    </row>
    <row r="146" spans="1:22" ht="14.4" thickBot="1" x14ac:dyDescent="0.3">
      <c r="B146" s="42" t="s">
        <v>45</v>
      </c>
      <c r="C146" s="37">
        <f t="shared" si="59"/>
        <v>2.7</v>
      </c>
      <c r="D146" s="37">
        <f t="shared" si="60"/>
        <v>2.4</v>
      </c>
      <c r="E146" s="37">
        <f t="shared" si="60"/>
        <v>2.1</v>
      </c>
      <c r="F146" s="37">
        <f t="shared" si="60"/>
        <v>1.8</v>
      </c>
      <c r="G146" s="37">
        <f t="shared" si="60"/>
        <v>1.5</v>
      </c>
      <c r="H146" s="37">
        <f t="shared" si="60"/>
        <v>1.2</v>
      </c>
      <c r="I146" s="37">
        <f t="shared" si="60"/>
        <v>0.89999999999999991</v>
      </c>
      <c r="J146" s="37">
        <f t="shared" si="60"/>
        <v>0.60000000000000009</v>
      </c>
      <c r="K146" s="37">
        <f t="shared" si="60"/>
        <v>0.30000000000000027</v>
      </c>
      <c r="L146" s="37">
        <f t="shared" si="60"/>
        <v>4.4408920985006262E-16</v>
      </c>
      <c r="M146" s="37">
        <f t="shared" si="60"/>
        <v>4.4408920985006262E-16</v>
      </c>
      <c r="N146" s="37">
        <f t="shared" si="60"/>
        <v>4.4408920985006262E-16</v>
      </c>
      <c r="O146" s="37">
        <f t="shared" si="60"/>
        <v>4.4408920985006262E-16</v>
      </c>
      <c r="P146" s="37">
        <f t="shared" si="60"/>
        <v>4.4408920985006262E-16</v>
      </c>
      <c r="Q146" s="37">
        <f t="shared" si="60"/>
        <v>4.4408920985006262E-16</v>
      </c>
      <c r="R146" s="37">
        <f t="shared" si="60"/>
        <v>4.4408920985006262E-16</v>
      </c>
      <c r="S146" s="37">
        <f t="shared" si="60"/>
        <v>4.4408920985006262E-16</v>
      </c>
      <c r="T146" s="37">
        <f t="shared" si="60"/>
        <v>4.4408920985006262E-16</v>
      </c>
      <c r="U146" s="37">
        <f t="shared" si="60"/>
        <v>4.4408920985006262E-16</v>
      </c>
      <c r="V146" s="37">
        <f t="shared" si="60"/>
        <v>4.4408920985006262E-16</v>
      </c>
    </row>
    <row r="148" spans="1:22" x14ac:dyDescent="0.25">
      <c r="C148" s="96" t="e">
        <f>SUM(C139:C146)</f>
        <v>#REF!</v>
      </c>
      <c r="D148" s="96" t="e">
        <f t="shared" ref="D148:V148" si="62">SUM(D139:D146)</f>
        <v>#REF!</v>
      </c>
      <c r="E148" s="96" t="e">
        <f t="shared" si="62"/>
        <v>#REF!</v>
      </c>
      <c r="F148" s="96" t="e">
        <f t="shared" si="62"/>
        <v>#REF!</v>
      </c>
      <c r="G148" s="96" t="e">
        <f t="shared" si="62"/>
        <v>#REF!</v>
      </c>
      <c r="H148" s="96" t="e">
        <f t="shared" si="62"/>
        <v>#REF!</v>
      </c>
      <c r="I148" s="96" t="e">
        <f t="shared" si="62"/>
        <v>#REF!</v>
      </c>
      <c r="J148" s="96" t="e">
        <f t="shared" si="62"/>
        <v>#REF!</v>
      </c>
      <c r="K148" s="96" t="e">
        <f t="shared" si="62"/>
        <v>#REF!</v>
      </c>
      <c r="L148" s="97" t="e">
        <f t="shared" si="62"/>
        <v>#REF!</v>
      </c>
      <c r="M148" s="96" t="e">
        <f t="shared" si="62"/>
        <v>#REF!</v>
      </c>
      <c r="N148" s="96" t="e">
        <f t="shared" si="62"/>
        <v>#REF!</v>
      </c>
      <c r="O148" s="96" t="e">
        <f t="shared" si="62"/>
        <v>#REF!</v>
      </c>
      <c r="P148" s="96" t="e">
        <f t="shared" si="62"/>
        <v>#REF!</v>
      </c>
      <c r="Q148" s="96" t="e">
        <f t="shared" si="62"/>
        <v>#REF!</v>
      </c>
      <c r="R148" s="96" t="e">
        <f t="shared" si="62"/>
        <v>#REF!</v>
      </c>
      <c r="S148" s="96" t="e">
        <f t="shared" si="62"/>
        <v>#REF!</v>
      </c>
      <c r="T148" s="96" t="e">
        <f t="shared" si="62"/>
        <v>#REF!</v>
      </c>
      <c r="U148" s="96" t="e">
        <f t="shared" si="62"/>
        <v>#REF!</v>
      </c>
      <c r="V148" s="96" t="e">
        <f t="shared" si="62"/>
        <v>#REF!</v>
      </c>
    </row>
    <row r="149" spans="1:22" x14ac:dyDescent="0.25">
      <c r="C149" s="96"/>
      <c r="D149" s="96"/>
      <c r="E149" s="96"/>
      <c r="F149" s="96"/>
      <c r="G149" s="96"/>
      <c r="H149" s="96"/>
      <c r="I149" s="96"/>
      <c r="J149" s="96"/>
      <c r="K149" s="96"/>
      <c r="L149" s="97"/>
      <c r="M149" s="96"/>
      <c r="N149" s="96"/>
      <c r="O149" s="96"/>
      <c r="P149" s="96"/>
      <c r="Q149" s="96"/>
      <c r="R149" s="96"/>
      <c r="S149" s="96"/>
      <c r="T149" s="96"/>
      <c r="U149" s="96"/>
      <c r="V149" s="96"/>
    </row>
    <row r="150" spans="1:22" ht="14.4" thickBot="1" x14ac:dyDescent="0.3">
      <c r="B150" s="2" t="s">
        <v>76</v>
      </c>
    </row>
    <row r="151" spans="1:22" x14ac:dyDescent="0.25">
      <c r="B151" s="57" t="s">
        <v>82</v>
      </c>
      <c r="C151" s="77">
        <v>2021</v>
      </c>
      <c r="D151" s="77">
        <v>2022</v>
      </c>
      <c r="E151" s="77">
        <v>2023</v>
      </c>
      <c r="F151" s="77">
        <v>2024</v>
      </c>
      <c r="G151" s="77">
        <v>2025</v>
      </c>
      <c r="H151" s="77">
        <v>2026</v>
      </c>
      <c r="I151" s="77">
        <v>2027</v>
      </c>
      <c r="J151" s="77">
        <v>2028</v>
      </c>
      <c r="K151" s="77">
        <v>2029</v>
      </c>
      <c r="L151" s="77">
        <v>2030</v>
      </c>
      <c r="M151" s="77">
        <v>2031</v>
      </c>
      <c r="N151" s="77">
        <v>2032</v>
      </c>
      <c r="O151" s="77">
        <v>2033</v>
      </c>
      <c r="P151" s="77">
        <v>2034</v>
      </c>
      <c r="Q151" s="77">
        <v>2035</v>
      </c>
      <c r="R151" s="77">
        <v>2036</v>
      </c>
      <c r="S151" s="77">
        <v>2037</v>
      </c>
      <c r="T151" s="77">
        <v>2038</v>
      </c>
      <c r="U151" s="77">
        <v>2039</v>
      </c>
      <c r="V151" s="77">
        <v>2040</v>
      </c>
    </row>
    <row r="152" spans="1:22" x14ac:dyDescent="0.25">
      <c r="B152" s="36" t="s">
        <v>95</v>
      </c>
      <c r="C152" s="91">
        <f>SUM(C80:C126)</f>
        <v>42</v>
      </c>
      <c r="D152" s="91">
        <f t="shared" ref="D152:V152" si="63">SUM(D80:D126)</f>
        <v>38</v>
      </c>
      <c r="E152" s="91">
        <f t="shared" si="63"/>
        <v>32</v>
      </c>
      <c r="F152" s="91">
        <f t="shared" si="63"/>
        <v>29</v>
      </c>
      <c r="G152" s="91">
        <f t="shared" si="63"/>
        <v>24</v>
      </c>
      <c r="H152" s="91">
        <f t="shared" si="63"/>
        <v>20</v>
      </c>
      <c r="I152" s="91">
        <f t="shared" si="63"/>
        <v>17</v>
      </c>
      <c r="J152" s="91">
        <f t="shared" si="63"/>
        <v>15</v>
      </c>
      <c r="K152" s="91">
        <f t="shared" si="63"/>
        <v>15</v>
      </c>
      <c r="L152" s="91">
        <f t="shared" si="63"/>
        <v>15</v>
      </c>
      <c r="M152" s="91">
        <f t="shared" si="63"/>
        <v>13</v>
      </c>
      <c r="N152" s="91">
        <f t="shared" si="63"/>
        <v>13</v>
      </c>
      <c r="O152" s="91">
        <f t="shared" si="63"/>
        <v>13</v>
      </c>
      <c r="P152" s="91">
        <f t="shared" si="63"/>
        <v>13</v>
      </c>
      <c r="Q152" s="91">
        <f t="shared" si="63"/>
        <v>13</v>
      </c>
      <c r="R152" s="91">
        <f t="shared" si="63"/>
        <v>13</v>
      </c>
      <c r="S152" s="91">
        <f t="shared" si="63"/>
        <v>13</v>
      </c>
      <c r="T152" s="91">
        <f t="shared" si="63"/>
        <v>13</v>
      </c>
      <c r="U152" s="91">
        <f t="shared" si="63"/>
        <v>13</v>
      </c>
      <c r="V152" s="91">
        <f t="shared" si="63"/>
        <v>13</v>
      </c>
    </row>
    <row r="153" spans="1:22" x14ac:dyDescent="0.25">
      <c r="B153" s="36" t="s">
        <v>96</v>
      </c>
      <c r="C153" s="98" t="e">
        <f>SUM(C127:C134)</f>
        <v>#REF!</v>
      </c>
      <c r="D153" s="98" t="e">
        <f t="shared" ref="D153:V153" si="64">SUM(D127:D134)</f>
        <v>#REF!</v>
      </c>
      <c r="E153" s="98" t="e">
        <f t="shared" si="64"/>
        <v>#REF!</v>
      </c>
      <c r="F153" s="98" t="e">
        <f t="shared" si="64"/>
        <v>#REF!</v>
      </c>
      <c r="G153" s="98" t="e">
        <f t="shared" si="64"/>
        <v>#REF!</v>
      </c>
      <c r="H153" s="98" t="e">
        <f t="shared" si="64"/>
        <v>#REF!</v>
      </c>
      <c r="I153" s="98" t="e">
        <f t="shared" si="64"/>
        <v>#REF!</v>
      </c>
      <c r="J153" s="98" t="e">
        <f t="shared" si="64"/>
        <v>#REF!</v>
      </c>
      <c r="K153" s="98" t="e">
        <f t="shared" si="64"/>
        <v>#REF!</v>
      </c>
      <c r="L153" s="98" t="e">
        <f t="shared" si="64"/>
        <v>#REF!</v>
      </c>
      <c r="M153" s="98" t="e">
        <f t="shared" si="64"/>
        <v>#REF!</v>
      </c>
      <c r="N153" s="98" t="e">
        <f t="shared" si="64"/>
        <v>#REF!</v>
      </c>
      <c r="O153" s="98" t="e">
        <f t="shared" si="64"/>
        <v>#REF!</v>
      </c>
      <c r="P153" s="98" t="e">
        <f t="shared" si="64"/>
        <v>#REF!</v>
      </c>
      <c r="Q153" s="98" t="e">
        <f t="shared" si="64"/>
        <v>#REF!</v>
      </c>
      <c r="R153" s="98" t="e">
        <f t="shared" si="64"/>
        <v>#REF!</v>
      </c>
      <c r="S153" s="98" t="e">
        <f t="shared" si="64"/>
        <v>#REF!</v>
      </c>
      <c r="T153" s="98" t="e">
        <f t="shared" si="64"/>
        <v>#REF!</v>
      </c>
      <c r="U153" s="98" t="e">
        <f t="shared" si="64"/>
        <v>#REF!</v>
      </c>
      <c r="V153" s="98" t="e">
        <f t="shared" si="64"/>
        <v>#REF!</v>
      </c>
    </row>
    <row r="157" spans="1:22" x14ac:dyDescent="0.25">
      <c r="A157" s="30" t="s">
        <v>16</v>
      </c>
      <c r="B157" s="30" t="s">
        <v>128</v>
      </c>
      <c r="C157" s="30">
        <v>2021</v>
      </c>
      <c r="D157" s="31">
        <v>2022</v>
      </c>
      <c r="E157" s="30">
        <v>2023</v>
      </c>
      <c r="F157" s="31">
        <v>2024</v>
      </c>
      <c r="G157" s="30">
        <v>2025</v>
      </c>
      <c r="H157" s="31">
        <v>2026</v>
      </c>
      <c r="I157" s="30">
        <v>2027</v>
      </c>
      <c r="J157" s="31">
        <v>2028</v>
      </c>
      <c r="K157" s="30">
        <v>2029</v>
      </c>
      <c r="L157" s="67">
        <v>2030</v>
      </c>
      <c r="M157" s="68">
        <v>2031</v>
      </c>
      <c r="N157" s="31">
        <v>2032</v>
      </c>
      <c r="O157" s="30">
        <v>2033</v>
      </c>
      <c r="P157" s="31">
        <v>2034</v>
      </c>
      <c r="Q157" s="30">
        <v>2035</v>
      </c>
      <c r="R157" s="31">
        <v>2036</v>
      </c>
      <c r="S157" s="30">
        <v>2037</v>
      </c>
      <c r="T157" s="31">
        <v>2038</v>
      </c>
      <c r="U157" s="30">
        <v>2039</v>
      </c>
      <c r="V157" s="31">
        <v>2040</v>
      </c>
    </row>
    <row r="158" spans="1:22" x14ac:dyDescent="0.25">
      <c r="A158" s="32" t="s">
        <v>47</v>
      </c>
      <c r="B158" s="33" t="s">
        <v>41</v>
      </c>
      <c r="C158" s="41">
        <f t="shared" ref="C158:V158" si="65">C2</f>
        <v>1</v>
      </c>
      <c r="D158" s="41">
        <f t="shared" si="65"/>
        <v>1</v>
      </c>
      <c r="E158" s="41">
        <f t="shared" si="65"/>
        <v>0</v>
      </c>
      <c r="F158" s="41">
        <f t="shared" si="65"/>
        <v>0</v>
      </c>
      <c r="G158" s="41">
        <f t="shared" si="65"/>
        <v>0</v>
      </c>
      <c r="H158" s="41">
        <f t="shared" si="65"/>
        <v>0</v>
      </c>
      <c r="I158" s="41">
        <f t="shared" si="65"/>
        <v>0</v>
      </c>
      <c r="J158" s="41">
        <f t="shared" si="65"/>
        <v>0</v>
      </c>
      <c r="K158" s="41">
        <f t="shared" si="65"/>
        <v>0</v>
      </c>
      <c r="L158" s="41">
        <f t="shared" si="65"/>
        <v>0</v>
      </c>
      <c r="M158" s="41">
        <f t="shared" si="65"/>
        <v>0</v>
      </c>
      <c r="N158" s="41">
        <f t="shared" si="65"/>
        <v>0</v>
      </c>
      <c r="O158" s="41">
        <f t="shared" si="65"/>
        <v>0</v>
      </c>
      <c r="P158" s="41">
        <f t="shared" si="65"/>
        <v>0</v>
      </c>
      <c r="Q158" s="41">
        <f t="shared" si="65"/>
        <v>0</v>
      </c>
      <c r="R158" s="41">
        <f t="shared" si="65"/>
        <v>0</v>
      </c>
      <c r="S158" s="41">
        <f t="shared" si="65"/>
        <v>0</v>
      </c>
      <c r="T158" s="41">
        <f t="shared" si="65"/>
        <v>0</v>
      </c>
      <c r="U158" s="41">
        <f t="shared" si="65"/>
        <v>0</v>
      </c>
      <c r="V158" s="41">
        <f t="shared" si="65"/>
        <v>0</v>
      </c>
    </row>
    <row r="159" spans="1:22" x14ac:dyDescent="0.25">
      <c r="A159" s="32" t="s">
        <v>17</v>
      </c>
      <c r="B159" s="33" t="s">
        <v>41</v>
      </c>
      <c r="C159" s="41">
        <f t="shared" ref="C159:V159" si="66">C3</f>
        <v>1</v>
      </c>
      <c r="D159" s="41">
        <f t="shared" si="66"/>
        <v>1</v>
      </c>
      <c r="E159" s="41">
        <f t="shared" si="66"/>
        <v>1</v>
      </c>
      <c r="F159" s="41">
        <f t="shared" si="66"/>
        <v>1</v>
      </c>
      <c r="G159" s="41">
        <f t="shared" si="66"/>
        <v>0</v>
      </c>
      <c r="H159" s="41">
        <f t="shared" si="66"/>
        <v>0</v>
      </c>
      <c r="I159" s="41">
        <f t="shared" si="66"/>
        <v>0</v>
      </c>
      <c r="J159" s="41">
        <f t="shared" si="66"/>
        <v>0</v>
      </c>
      <c r="K159" s="41">
        <f t="shared" si="66"/>
        <v>0</v>
      </c>
      <c r="L159" s="41">
        <f t="shared" si="66"/>
        <v>0</v>
      </c>
      <c r="M159" s="41">
        <f t="shared" si="66"/>
        <v>0</v>
      </c>
      <c r="N159" s="41">
        <f t="shared" si="66"/>
        <v>0</v>
      </c>
      <c r="O159" s="41">
        <f t="shared" si="66"/>
        <v>0</v>
      </c>
      <c r="P159" s="41">
        <f t="shared" si="66"/>
        <v>0</v>
      </c>
      <c r="Q159" s="41">
        <f t="shared" si="66"/>
        <v>0</v>
      </c>
      <c r="R159" s="41">
        <f t="shared" si="66"/>
        <v>0</v>
      </c>
      <c r="S159" s="41">
        <f t="shared" si="66"/>
        <v>0</v>
      </c>
      <c r="T159" s="41">
        <f t="shared" si="66"/>
        <v>0</v>
      </c>
      <c r="U159" s="41">
        <f t="shared" si="66"/>
        <v>0</v>
      </c>
      <c r="V159" s="41">
        <f t="shared" si="66"/>
        <v>0</v>
      </c>
    </row>
    <row r="160" spans="1:22" x14ac:dyDescent="0.25">
      <c r="A160" s="32" t="s">
        <v>49</v>
      </c>
      <c r="B160" s="33" t="s">
        <v>41</v>
      </c>
      <c r="C160" s="41">
        <f t="shared" ref="C160:V160" si="67">C4</f>
        <v>1</v>
      </c>
      <c r="D160" s="41">
        <f t="shared" si="67"/>
        <v>1</v>
      </c>
      <c r="E160" s="41">
        <f t="shared" si="67"/>
        <v>1</v>
      </c>
      <c r="F160" s="41">
        <f t="shared" si="67"/>
        <v>1</v>
      </c>
      <c r="G160" s="41">
        <f t="shared" si="67"/>
        <v>1</v>
      </c>
      <c r="H160" s="41">
        <f t="shared" si="67"/>
        <v>1</v>
      </c>
      <c r="I160" s="41">
        <f t="shared" si="67"/>
        <v>0</v>
      </c>
      <c r="J160" s="41">
        <f t="shared" si="67"/>
        <v>0</v>
      </c>
      <c r="K160" s="41">
        <f t="shared" si="67"/>
        <v>0</v>
      </c>
      <c r="L160" s="41">
        <f t="shared" si="67"/>
        <v>0</v>
      </c>
      <c r="M160" s="41">
        <f t="shared" si="67"/>
        <v>0</v>
      </c>
      <c r="N160" s="41">
        <f t="shared" si="67"/>
        <v>0</v>
      </c>
      <c r="O160" s="41">
        <f t="shared" si="67"/>
        <v>0</v>
      </c>
      <c r="P160" s="41">
        <f t="shared" si="67"/>
        <v>0</v>
      </c>
      <c r="Q160" s="41">
        <f t="shared" si="67"/>
        <v>0</v>
      </c>
      <c r="R160" s="41">
        <f t="shared" si="67"/>
        <v>0</v>
      </c>
      <c r="S160" s="41">
        <f t="shared" si="67"/>
        <v>0</v>
      </c>
      <c r="T160" s="41">
        <f t="shared" si="67"/>
        <v>0</v>
      </c>
      <c r="U160" s="41">
        <f t="shared" si="67"/>
        <v>0</v>
      </c>
      <c r="V160" s="41">
        <f t="shared" si="67"/>
        <v>0</v>
      </c>
    </row>
    <row r="161" spans="1:22" x14ac:dyDescent="0.25">
      <c r="A161" s="32" t="s">
        <v>50</v>
      </c>
      <c r="B161" s="39" t="s">
        <v>43</v>
      </c>
      <c r="C161" s="41">
        <f t="shared" ref="C161:V161" si="68">C5</f>
        <v>1</v>
      </c>
      <c r="D161" s="41">
        <f t="shared" si="68"/>
        <v>1</v>
      </c>
      <c r="E161" s="41">
        <f t="shared" si="68"/>
        <v>1</v>
      </c>
      <c r="F161" s="41">
        <f t="shared" si="68"/>
        <v>1</v>
      </c>
      <c r="G161" s="41">
        <f t="shared" si="68"/>
        <v>1</v>
      </c>
      <c r="H161" s="41">
        <f t="shared" si="68"/>
        <v>1</v>
      </c>
      <c r="I161" s="41">
        <f t="shared" si="68"/>
        <v>1</v>
      </c>
      <c r="J161" s="41">
        <f t="shared" si="68"/>
        <v>1</v>
      </c>
      <c r="K161" s="41">
        <f t="shared" si="68"/>
        <v>1</v>
      </c>
      <c r="L161" s="41">
        <f t="shared" si="68"/>
        <v>1</v>
      </c>
      <c r="M161" s="41">
        <f t="shared" si="68"/>
        <v>1</v>
      </c>
      <c r="N161" s="41">
        <f t="shared" si="68"/>
        <v>1</v>
      </c>
      <c r="O161" s="41">
        <f t="shared" si="68"/>
        <v>1</v>
      </c>
      <c r="P161" s="41">
        <f t="shared" si="68"/>
        <v>1</v>
      </c>
      <c r="Q161" s="41">
        <f t="shared" si="68"/>
        <v>1</v>
      </c>
      <c r="R161" s="41">
        <f t="shared" si="68"/>
        <v>1</v>
      </c>
      <c r="S161" s="41">
        <f t="shared" si="68"/>
        <v>1</v>
      </c>
      <c r="T161" s="41">
        <f t="shared" si="68"/>
        <v>1</v>
      </c>
      <c r="U161" s="41">
        <f t="shared" si="68"/>
        <v>1</v>
      </c>
      <c r="V161" s="41">
        <f t="shared" si="68"/>
        <v>1</v>
      </c>
    </row>
    <row r="162" spans="1:22" x14ac:dyDescent="0.25">
      <c r="A162" s="32" t="s">
        <v>51</v>
      </c>
      <c r="B162" s="40" t="s">
        <v>42</v>
      </c>
      <c r="C162" s="41">
        <f t="shared" ref="C162:V162" si="69">C6</f>
        <v>1</v>
      </c>
      <c r="D162" s="41">
        <f t="shared" si="69"/>
        <v>1</v>
      </c>
      <c r="E162" s="41">
        <f t="shared" si="69"/>
        <v>1</v>
      </c>
      <c r="F162" s="41">
        <f t="shared" si="69"/>
        <v>1</v>
      </c>
      <c r="G162" s="41">
        <f t="shared" si="69"/>
        <v>0</v>
      </c>
      <c r="H162" s="41">
        <f t="shared" si="69"/>
        <v>0</v>
      </c>
      <c r="I162" s="41">
        <f t="shared" si="69"/>
        <v>0</v>
      </c>
      <c r="J162" s="41">
        <f t="shared" si="69"/>
        <v>0</v>
      </c>
      <c r="K162" s="41">
        <f t="shared" si="69"/>
        <v>0</v>
      </c>
      <c r="L162" s="41">
        <f t="shared" si="69"/>
        <v>0</v>
      </c>
      <c r="M162" s="41">
        <f t="shared" si="69"/>
        <v>0</v>
      </c>
      <c r="N162" s="41">
        <f t="shared" si="69"/>
        <v>0</v>
      </c>
      <c r="O162" s="41">
        <f t="shared" si="69"/>
        <v>0</v>
      </c>
      <c r="P162" s="41">
        <f t="shared" si="69"/>
        <v>0</v>
      </c>
      <c r="Q162" s="41">
        <f t="shared" si="69"/>
        <v>0</v>
      </c>
      <c r="R162" s="41">
        <f t="shared" si="69"/>
        <v>0</v>
      </c>
      <c r="S162" s="41">
        <f t="shared" si="69"/>
        <v>0</v>
      </c>
      <c r="T162" s="41">
        <f t="shared" si="69"/>
        <v>0</v>
      </c>
      <c r="U162" s="41">
        <f t="shared" si="69"/>
        <v>0</v>
      </c>
      <c r="V162" s="41">
        <f t="shared" si="69"/>
        <v>0</v>
      </c>
    </row>
    <row r="163" spans="1:22" x14ac:dyDescent="0.25">
      <c r="A163" s="32" t="s">
        <v>52</v>
      </c>
      <c r="B163" s="33" t="s">
        <v>41</v>
      </c>
      <c r="C163" s="41">
        <f t="shared" ref="C163:V163" si="70">C7</f>
        <v>1</v>
      </c>
      <c r="D163" s="41">
        <f t="shared" si="70"/>
        <v>1</v>
      </c>
      <c r="E163" s="41">
        <f t="shared" si="70"/>
        <v>1</v>
      </c>
      <c r="F163" s="41">
        <f t="shared" si="70"/>
        <v>1</v>
      </c>
      <c r="G163" s="41">
        <f t="shared" si="70"/>
        <v>1</v>
      </c>
      <c r="H163" s="41">
        <f t="shared" si="70"/>
        <v>1</v>
      </c>
      <c r="I163" s="41">
        <f t="shared" si="70"/>
        <v>0</v>
      </c>
      <c r="J163" s="41">
        <f t="shared" si="70"/>
        <v>0</v>
      </c>
      <c r="K163" s="41">
        <f t="shared" si="70"/>
        <v>0</v>
      </c>
      <c r="L163" s="41">
        <f t="shared" si="70"/>
        <v>0</v>
      </c>
      <c r="M163" s="41">
        <f t="shared" si="70"/>
        <v>0</v>
      </c>
      <c r="N163" s="41">
        <f t="shared" si="70"/>
        <v>0</v>
      </c>
      <c r="O163" s="41">
        <f t="shared" si="70"/>
        <v>0</v>
      </c>
      <c r="P163" s="41">
        <f t="shared" si="70"/>
        <v>0</v>
      </c>
      <c r="Q163" s="41">
        <f t="shared" si="70"/>
        <v>0</v>
      </c>
      <c r="R163" s="41">
        <f t="shared" si="70"/>
        <v>0</v>
      </c>
      <c r="S163" s="41">
        <f t="shared" si="70"/>
        <v>0</v>
      </c>
      <c r="T163" s="41">
        <f t="shared" si="70"/>
        <v>0</v>
      </c>
      <c r="U163" s="41">
        <f t="shared" si="70"/>
        <v>0</v>
      </c>
      <c r="V163" s="41">
        <f t="shared" si="70"/>
        <v>0</v>
      </c>
    </row>
    <row r="164" spans="1:22" x14ac:dyDescent="0.25">
      <c r="A164" s="32" t="s">
        <v>18</v>
      </c>
      <c r="B164" s="41" t="s">
        <v>48</v>
      </c>
      <c r="C164" s="41">
        <f t="shared" ref="C164:V164" si="71">C8</f>
        <v>1</v>
      </c>
      <c r="D164" s="41">
        <f t="shared" si="71"/>
        <v>1</v>
      </c>
      <c r="E164" s="41">
        <f t="shared" si="71"/>
        <v>1</v>
      </c>
      <c r="F164" s="41">
        <f t="shared" si="71"/>
        <v>1</v>
      </c>
      <c r="G164" s="41">
        <f t="shared" si="71"/>
        <v>1</v>
      </c>
      <c r="H164" s="41">
        <f t="shared" si="71"/>
        <v>1</v>
      </c>
      <c r="I164" s="41">
        <f t="shared" si="71"/>
        <v>1</v>
      </c>
      <c r="J164" s="41">
        <f t="shared" si="71"/>
        <v>1</v>
      </c>
      <c r="K164" s="41">
        <f t="shared" si="71"/>
        <v>1</v>
      </c>
      <c r="L164" s="41">
        <f t="shared" si="71"/>
        <v>1</v>
      </c>
      <c r="M164" s="41">
        <f t="shared" si="71"/>
        <v>1</v>
      </c>
      <c r="N164" s="41">
        <f t="shared" si="71"/>
        <v>1</v>
      </c>
      <c r="O164" s="41">
        <f t="shared" si="71"/>
        <v>1</v>
      </c>
      <c r="P164" s="41">
        <f t="shared" si="71"/>
        <v>1</v>
      </c>
      <c r="Q164" s="41">
        <f t="shared" si="71"/>
        <v>1</v>
      </c>
      <c r="R164" s="41">
        <f t="shared" si="71"/>
        <v>1</v>
      </c>
      <c r="S164" s="41">
        <f t="shared" si="71"/>
        <v>1</v>
      </c>
      <c r="T164" s="41">
        <f t="shared" si="71"/>
        <v>1</v>
      </c>
      <c r="U164" s="41">
        <f t="shared" si="71"/>
        <v>1</v>
      </c>
      <c r="V164" s="41">
        <f t="shared" si="71"/>
        <v>1</v>
      </c>
    </row>
    <row r="165" spans="1:22" x14ac:dyDescent="0.25">
      <c r="A165" s="32" t="s">
        <v>53</v>
      </c>
      <c r="B165" s="33" t="s">
        <v>41</v>
      </c>
      <c r="C165" s="41">
        <f t="shared" ref="C165:V165" si="72">C9</f>
        <v>0</v>
      </c>
      <c r="D165" s="41">
        <f t="shared" si="72"/>
        <v>0</v>
      </c>
      <c r="E165" s="41">
        <f t="shared" si="72"/>
        <v>0</v>
      </c>
      <c r="F165" s="41">
        <f t="shared" si="72"/>
        <v>0</v>
      </c>
      <c r="G165" s="41">
        <f t="shared" si="72"/>
        <v>0</v>
      </c>
      <c r="H165" s="41">
        <f t="shared" si="72"/>
        <v>0</v>
      </c>
      <c r="I165" s="41">
        <f t="shared" si="72"/>
        <v>0</v>
      </c>
      <c r="J165" s="41">
        <f t="shared" si="72"/>
        <v>0</v>
      </c>
      <c r="K165" s="41">
        <f t="shared" si="72"/>
        <v>0</v>
      </c>
      <c r="L165" s="41">
        <f t="shared" si="72"/>
        <v>0</v>
      </c>
      <c r="M165" s="41">
        <f t="shared" si="72"/>
        <v>0</v>
      </c>
      <c r="N165" s="41">
        <f t="shared" si="72"/>
        <v>0</v>
      </c>
      <c r="O165" s="41">
        <f t="shared" si="72"/>
        <v>0</v>
      </c>
      <c r="P165" s="41">
        <f t="shared" si="72"/>
        <v>0</v>
      </c>
      <c r="Q165" s="41">
        <f t="shared" si="72"/>
        <v>0</v>
      </c>
      <c r="R165" s="41">
        <f t="shared" si="72"/>
        <v>0</v>
      </c>
      <c r="S165" s="41">
        <f t="shared" si="72"/>
        <v>0</v>
      </c>
      <c r="T165" s="41">
        <f t="shared" si="72"/>
        <v>0</v>
      </c>
      <c r="U165" s="41">
        <f t="shared" si="72"/>
        <v>0</v>
      </c>
      <c r="V165" s="41">
        <f t="shared" si="72"/>
        <v>0</v>
      </c>
    </row>
    <row r="166" spans="1:22" x14ac:dyDescent="0.25">
      <c r="A166" s="32" t="s">
        <v>54</v>
      </c>
      <c r="B166" s="40" t="s">
        <v>43</v>
      </c>
      <c r="C166" s="41">
        <f t="shared" ref="C166:V166" si="73">C10</f>
        <v>1</v>
      </c>
      <c r="D166" s="41">
        <f t="shared" si="73"/>
        <v>1</v>
      </c>
      <c r="E166" s="41">
        <f t="shared" si="73"/>
        <v>1</v>
      </c>
      <c r="F166" s="41">
        <f t="shared" si="73"/>
        <v>1</v>
      </c>
      <c r="G166" s="41">
        <f t="shared" si="73"/>
        <v>1</v>
      </c>
      <c r="H166" s="41">
        <f t="shared" si="73"/>
        <v>1</v>
      </c>
      <c r="I166" s="41">
        <f t="shared" si="73"/>
        <v>1</v>
      </c>
      <c r="J166" s="41">
        <f t="shared" si="73"/>
        <v>1</v>
      </c>
      <c r="K166" s="41">
        <f t="shared" si="73"/>
        <v>1</v>
      </c>
      <c r="L166" s="41">
        <f t="shared" si="73"/>
        <v>1</v>
      </c>
      <c r="M166" s="41">
        <f t="shared" si="73"/>
        <v>0</v>
      </c>
      <c r="N166" s="41">
        <f t="shared" si="73"/>
        <v>0</v>
      </c>
      <c r="O166" s="41">
        <f t="shared" si="73"/>
        <v>0</v>
      </c>
      <c r="P166" s="41">
        <f t="shared" si="73"/>
        <v>0</v>
      </c>
      <c r="Q166" s="41">
        <f t="shared" si="73"/>
        <v>0</v>
      </c>
      <c r="R166" s="41">
        <f t="shared" si="73"/>
        <v>0</v>
      </c>
      <c r="S166" s="41">
        <f t="shared" si="73"/>
        <v>0</v>
      </c>
      <c r="T166" s="41">
        <f t="shared" si="73"/>
        <v>0</v>
      </c>
      <c r="U166" s="41">
        <f t="shared" si="73"/>
        <v>0</v>
      </c>
      <c r="V166" s="41">
        <f t="shared" si="73"/>
        <v>0</v>
      </c>
    </row>
    <row r="167" spans="1:22" x14ac:dyDescent="0.25">
      <c r="A167" s="32" t="s">
        <v>55</v>
      </c>
      <c r="B167" s="40" t="s">
        <v>42</v>
      </c>
      <c r="C167" s="41">
        <f t="shared" ref="C167:V167" si="74">C11</f>
        <v>1</v>
      </c>
      <c r="D167" s="41">
        <f t="shared" si="74"/>
        <v>1</v>
      </c>
      <c r="E167" s="41">
        <f t="shared" si="74"/>
        <v>1</v>
      </c>
      <c r="F167" s="41">
        <f t="shared" si="74"/>
        <v>1</v>
      </c>
      <c r="G167" s="41">
        <f t="shared" si="74"/>
        <v>1</v>
      </c>
      <c r="H167" s="41">
        <f t="shared" si="74"/>
        <v>1</v>
      </c>
      <c r="I167" s="41">
        <f t="shared" si="74"/>
        <v>1</v>
      </c>
      <c r="J167" s="41">
        <f t="shared" si="74"/>
        <v>1</v>
      </c>
      <c r="K167" s="41">
        <f t="shared" si="74"/>
        <v>1</v>
      </c>
      <c r="L167" s="41">
        <f t="shared" si="74"/>
        <v>1</v>
      </c>
      <c r="M167" s="41">
        <f t="shared" si="74"/>
        <v>1</v>
      </c>
      <c r="N167" s="41">
        <f t="shared" si="74"/>
        <v>1</v>
      </c>
      <c r="O167" s="41">
        <f t="shared" si="74"/>
        <v>1</v>
      </c>
      <c r="P167" s="41">
        <f t="shared" si="74"/>
        <v>1</v>
      </c>
      <c r="Q167" s="41">
        <f t="shared" si="74"/>
        <v>1</v>
      </c>
      <c r="R167" s="41">
        <f t="shared" si="74"/>
        <v>1</v>
      </c>
      <c r="S167" s="41">
        <f t="shared" si="74"/>
        <v>1</v>
      </c>
      <c r="T167" s="41">
        <f t="shared" si="74"/>
        <v>1</v>
      </c>
      <c r="U167" s="41">
        <f t="shared" si="74"/>
        <v>1</v>
      </c>
      <c r="V167" s="41">
        <f t="shared" si="74"/>
        <v>1</v>
      </c>
    </row>
    <row r="168" spans="1:22" x14ac:dyDescent="0.25">
      <c r="A168" s="32" t="s">
        <v>56</v>
      </c>
      <c r="B168" s="39" t="s">
        <v>43</v>
      </c>
      <c r="C168" s="41">
        <f t="shared" ref="C168:V168" si="75">C12</f>
        <v>1</v>
      </c>
      <c r="D168" s="41">
        <f t="shared" si="75"/>
        <v>1</v>
      </c>
      <c r="E168" s="41">
        <f t="shared" si="75"/>
        <v>1</v>
      </c>
      <c r="F168" s="41">
        <f t="shared" si="75"/>
        <v>1</v>
      </c>
      <c r="G168" s="41">
        <f t="shared" si="75"/>
        <v>1</v>
      </c>
      <c r="H168" s="41">
        <f t="shared" si="75"/>
        <v>1</v>
      </c>
      <c r="I168" s="41">
        <f t="shared" si="75"/>
        <v>1</v>
      </c>
      <c r="J168" s="41">
        <f t="shared" si="75"/>
        <v>1</v>
      </c>
      <c r="K168" s="41">
        <f t="shared" si="75"/>
        <v>1</v>
      </c>
      <c r="L168" s="41">
        <f t="shared" si="75"/>
        <v>1</v>
      </c>
      <c r="M168" s="41">
        <f t="shared" si="75"/>
        <v>1</v>
      </c>
      <c r="N168" s="41">
        <f t="shared" si="75"/>
        <v>1</v>
      </c>
      <c r="O168" s="41">
        <f t="shared" si="75"/>
        <v>1</v>
      </c>
      <c r="P168" s="41">
        <f t="shared" si="75"/>
        <v>1</v>
      </c>
      <c r="Q168" s="41">
        <f t="shared" si="75"/>
        <v>1</v>
      </c>
      <c r="R168" s="41">
        <f t="shared" si="75"/>
        <v>1</v>
      </c>
      <c r="S168" s="41">
        <f t="shared" si="75"/>
        <v>1</v>
      </c>
      <c r="T168" s="41">
        <f t="shared" si="75"/>
        <v>1</v>
      </c>
      <c r="U168" s="41">
        <f t="shared" si="75"/>
        <v>1</v>
      </c>
      <c r="V168" s="41">
        <f t="shared" si="75"/>
        <v>1</v>
      </c>
    </row>
    <row r="169" spans="1:22" x14ac:dyDescent="0.25">
      <c r="A169" s="32" t="s">
        <v>66</v>
      </c>
      <c r="B169" s="41" t="s">
        <v>48</v>
      </c>
      <c r="C169" s="41">
        <f t="shared" ref="C169:V169" si="76">C13</f>
        <v>1</v>
      </c>
      <c r="D169" s="41">
        <f t="shared" si="76"/>
        <v>1</v>
      </c>
      <c r="E169" s="41">
        <f t="shared" si="76"/>
        <v>1</v>
      </c>
      <c r="F169" s="41">
        <f t="shared" si="76"/>
        <v>0</v>
      </c>
      <c r="G169" s="41">
        <f t="shared" si="76"/>
        <v>0</v>
      </c>
      <c r="H169" s="41">
        <f t="shared" si="76"/>
        <v>0</v>
      </c>
      <c r="I169" s="41">
        <f t="shared" si="76"/>
        <v>0</v>
      </c>
      <c r="J169" s="41">
        <f t="shared" si="76"/>
        <v>0</v>
      </c>
      <c r="K169" s="41">
        <f t="shared" si="76"/>
        <v>0</v>
      </c>
      <c r="L169" s="41">
        <f t="shared" si="76"/>
        <v>0</v>
      </c>
      <c r="M169" s="41">
        <f t="shared" si="76"/>
        <v>0</v>
      </c>
      <c r="N169" s="41">
        <f t="shared" si="76"/>
        <v>0</v>
      </c>
      <c r="O169" s="41">
        <f t="shared" si="76"/>
        <v>0</v>
      </c>
      <c r="P169" s="41">
        <f t="shared" si="76"/>
        <v>0</v>
      </c>
      <c r="Q169" s="41">
        <f t="shared" si="76"/>
        <v>0</v>
      </c>
      <c r="R169" s="41">
        <f t="shared" si="76"/>
        <v>0</v>
      </c>
      <c r="S169" s="41">
        <f t="shared" si="76"/>
        <v>0</v>
      </c>
      <c r="T169" s="41">
        <f t="shared" si="76"/>
        <v>0</v>
      </c>
      <c r="U169" s="41">
        <f t="shared" si="76"/>
        <v>0</v>
      </c>
      <c r="V169" s="41">
        <f t="shared" si="76"/>
        <v>0</v>
      </c>
    </row>
    <row r="170" spans="1:22" x14ac:dyDescent="0.25">
      <c r="A170" s="32" t="s">
        <v>19</v>
      </c>
      <c r="B170" s="33" t="s">
        <v>41</v>
      </c>
      <c r="C170" s="41">
        <f t="shared" ref="C170:V170" si="77">C14</f>
        <v>1</v>
      </c>
      <c r="D170" s="41">
        <f t="shared" si="77"/>
        <v>1</v>
      </c>
      <c r="E170" s="41">
        <f t="shared" si="77"/>
        <v>1</v>
      </c>
      <c r="F170" s="41">
        <f t="shared" si="77"/>
        <v>1</v>
      </c>
      <c r="G170" s="41">
        <f t="shared" si="77"/>
        <v>1</v>
      </c>
      <c r="H170" s="41">
        <f t="shared" si="77"/>
        <v>1</v>
      </c>
      <c r="I170" s="41">
        <f t="shared" si="77"/>
        <v>1</v>
      </c>
      <c r="J170" s="41">
        <f t="shared" si="77"/>
        <v>0</v>
      </c>
      <c r="K170" s="41">
        <f t="shared" si="77"/>
        <v>0</v>
      </c>
      <c r="L170" s="41">
        <f t="shared" si="77"/>
        <v>0</v>
      </c>
      <c r="M170" s="41">
        <f t="shared" si="77"/>
        <v>0</v>
      </c>
      <c r="N170" s="41">
        <f t="shared" si="77"/>
        <v>0</v>
      </c>
      <c r="O170" s="41">
        <f t="shared" si="77"/>
        <v>0</v>
      </c>
      <c r="P170" s="41">
        <f t="shared" si="77"/>
        <v>0</v>
      </c>
      <c r="Q170" s="41">
        <f t="shared" si="77"/>
        <v>0</v>
      </c>
      <c r="R170" s="41">
        <f t="shared" si="77"/>
        <v>0</v>
      </c>
      <c r="S170" s="41">
        <f t="shared" si="77"/>
        <v>0</v>
      </c>
      <c r="T170" s="41">
        <f t="shared" si="77"/>
        <v>0</v>
      </c>
      <c r="U170" s="41">
        <f t="shared" si="77"/>
        <v>0</v>
      </c>
      <c r="V170" s="41">
        <f t="shared" si="77"/>
        <v>0</v>
      </c>
    </row>
    <row r="171" spans="1:22" x14ac:dyDescent="0.25">
      <c r="A171" s="44" t="s">
        <v>67</v>
      </c>
      <c r="B171" s="33" t="s">
        <v>40</v>
      </c>
      <c r="C171" s="41">
        <f t="shared" ref="C171:V171" si="78">C15</f>
        <v>1</v>
      </c>
      <c r="D171" s="41">
        <f t="shared" si="78"/>
        <v>1</v>
      </c>
      <c r="E171" s="41">
        <f t="shared" si="78"/>
        <v>1</v>
      </c>
      <c r="F171" s="41">
        <f t="shared" si="78"/>
        <v>1</v>
      </c>
      <c r="G171" s="41">
        <f t="shared" si="78"/>
        <v>1</v>
      </c>
      <c r="H171" s="41">
        <f t="shared" si="78"/>
        <v>1</v>
      </c>
      <c r="I171" s="41">
        <f t="shared" si="78"/>
        <v>1</v>
      </c>
      <c r="J171" s="41">
        <f t="shared" si="78"/>
        <v>1</v>
      </c>
      <c r="K171" s="41">
        <f t="shared" si="78"/>
        <v>1</v>
      </c>
      <c r="L171" s="41">
        <f t="shared" si="78"/>
        <v>1</v>
      </c>
      <c r="M171" s="41">
        <f t="shared" si="78"/>
        <v>1</v>
      </c>
      <c r="N171" s="41">
        <f t="shared" si="78"/>
        <v>1</v>
      </c>
      <c r="O171" s="41">
        <f t="shared" si="78"/>
        <v>1</v>
      </c>
      <c r="P171" s="41">
        <f t="shared" si="78"/>
        <v>1</v>
      </c>
      <c r="Q171" s="41">
        <f t="shared" si="78"/>
        <v>1</v>
      </c>
      <c r="R171" s="41">
        <f t="shared" si="78"/>
        <v>1</v>
      </c>
      <c r="S171" s="41">
        <f t="shared" si="78"/>
        <v>1</v>
      </c>
      <c r="T171" s="41">
        <f t="shared" si="78"/>
        <v>1</v>
      </c>
      <c r="U171" s="41">
        <f t="shared" si="78"/>
        <v>1</v>
      </c>
      <c r="V171" s="41">
        <f t="shared" si="78"/>
        <v>1</v>
      </c>
    </row>
    <row r="172" spans="1:22" x14ac:dyDescent="0.25">
      <c r="A172" s="44" t="s">
        <v>68</v>
      </c>
      <c r="B172" s="33" t="s">
        <v>40</v>
      </c>
      <c r="C172" s="41">
        <f t="shared" ref="C172:V172" si="79">C16</f>
        <v>1</v>
      </c>
      <c r="D172" s="41">
        <f t="shared" si="79"/>
        <v>1</v>
      </c>
      <c r="E172" s="41">
        <f t="shared" si="79"/>
        <v>1</v>
      </c>
      <c r="F172" s="41">
        <f t="shared" si="79"/>
        <v>1</v>
      </c>
      <c r="G172" s="41">
        <f t="shared" si="79"/>
        <v>1</v>
      </c>
      <c r="H172" s="41">
        <f t="shared" si="79"/>
        <v>1</v>
      </c>
      <c r="I172" s="41">
        <f t="shared" si="79"/>
        <v>1</v>
      </c>
      <c r="J172" s="41">
        <f t="shared" si="79"/>
        <v>1</v>
      </c>
      <c r="K172" s="41">
        <f t="shared" si="79"/>
        <v>1</v>
      </c>
      <c r="L172" s="41">
        <f t="shared" si="79"/>
        <v>1</v>
      </c>
      <c r="M172" s="41">
        <f t="shared" si="79"/>
        <v>1</v>
      </c>
      <c r="N172" s="41">
        <f t="shared" si="79"/>
        <v>1</v>
      </c>
      <c r="O172" s="41">
        <f t="shared" si="79"/>
        <v>1</v>
      </c>
      <c r="P172" s="41">
        <f t="shared" si="79"/>
        <v>1</v>
      </c>
      <c r="Q172" s="41">
        <f t="shared" si="79"/>
        <v>1</v>
      </c>
      <c r="R172" s="41">
        <f t="shared" si="79"/>
        <v>1</v>
      </c>
      <c r="S172" s="41">
        <f t="shared" si="79"/>
        <v>1</v>
      </c>
      <c r="T172" s="41">
        <f t="shared" si="79"/>
        <v>1</v>
      </c>
      <c r="U172" s="41">
        <f t="shared" si="79"/>
        <v>1</v>
      </c>
      <c r="V172" s="41">
        <f t="shared" si="79"/>
        <v>1</v>
      </c>
    </row>
    <row r="173" spans="1:22" x14ac:dyDescent="0.25">
      <c r="A173" s="44" t="s">
        <v>69</v>
      </c>
      <c r="B173" s="33" t="s">
        <v>40</v>
      </c>
      <c r="C173" s="41">
        <f t="shared" ref="C173:V173" si="80">C17</f>
        <v>1</v>
      </c>
      <c r="D173" s="41">
        <f t="shared" si="80"/>
        <v>1</v>
      </c>
      <c r="E173" s="41">
        <f t="shared" si="80"/>
        <v>1</v>
      </c>
      <c r="F173" s="41">
        <f t="shared" si="80"/>
        <v>1</v>
      </c>
      <c r="G173" s="41">
        <f t="shared" si="80"/>
        <v>1</v>
      </c>
      <c r="H173" s="41">
        <f t="shared" si="80"/>
        <v>1</v>
      </c>
      <c r="I173" s="41">
        <f t="shared" si="80"/>
        <v>1</v>
      </c>
      <c r="J173" s="41">
        <f t="shared" si="80"/>
        <v>1</v>
      </c>
      <c r="K173" s="41">
        <f t="shared" si="80"/>
        <v>1</v>
      </c>
      <c r="L173" s="41">
        <f t="shared" si="80"/>
        <v>1</v>
      </c>
      <c r="M173" s="41">
        <f t="shared" si="80"/>
        <v>1</v>
      </c>
      <c r="N173" s="41">
        <f t="shared" si="80"/>
        <v>1</v>
      </c>
      <c r="O173" s="41">
        <f t="shared" si="80"/>
        <v>1</v>
      </c>
      <c r="P173" s="41">
        <f t="shared" si="80"/>
        <v>1</v>
      </c>
      <c r="Q173" s="41">
        <f t="shared" si="80"/>
        <v>1</v>
      </c>
      <c r="R173" s="41">
        <f t="shared" si="80"/>
        <v>1</v>
      </c>
      <c r="S173" s="41">
        <f t="shared" si="80"/>
        <v>1</v>
      </c>
      <c r="T173" s="41">
        <f t="shared" si="80"/>
        <v>1</v>
      </c>
      <c r="U173" s="41">
        <f t="shared" si="80"/>
        <v>1</v>
      </c>
      <c r="V173" s="41">
        <f t="shared" si="80"/>
        <v>1</v>
      </c>
    </row>
    <row r="174" spans="1:22" x14ac:dyDescent="0.25">
      <c r="A174" s="44" t="s">
        <v>70</v>
      </c>
      <c r="B174" s="33" t="s">
        <v>40</v>
      </c>
      <c r="C174" s="41">
        <f t="shared" ref="C174:V174" si="81">C18</f>
        <v>1</v>
      </c>
      <c r="D174" s="41">
        <f t="shared" si="81"/>
        <v>1</v>
      </c>
      <c r="E174" s="41">
        <f t="shared" si="81"/>
        <v>1</v>
      </c>
      <c r="F174" s="41">
        <f t="shared" si="81"/>
        <v>1</v>
      </c>
      <c r="G174" s="41">
        <f t="shared" si="81"/>
        <v>1</v>
      </c>
      <c r="H174" s="41">
        <f t="shared" si="81"/>
        <v>1</v>
      </c>
      <c r="I174" s="41">
        <f t="shared" si="81"/>
        <v>1</v>
      </c>
      <c r="J174" s="41">
        <f t="shared" si="81"/>
        <v>1</v>
      </c>
      <c r="K174" s="41">
        <f t="shared" si="81"/>
        <v>1</v>
      </c>
      <c r="L174" s="41">
        <f t="shared" si="81"/>
        <v>1</v>
      </c>
      <c r="M174" s="41">
        <f t="shared" si="81"/>
        <v>1</v>
      </c>
      <c r="N174" s="41">
        <f t="shared" si="81"/>
        <v>1</v>
      </c>
      <c r="O174" s="41">
        <f t="shared" si="81"/>
        <v>1</v>
      </c>
      <c r="P174" s="41">
        <f t="shared" si="81"/>
        <v>1</v>
      </c>
      <c r="Q174" s="41">
        <f t="shared" si="81"/>
        <v>1</v>
      </c>
      <c r="R174" s="41">
        <f t="shared" si="81"/>
        <v>1</v>
      </c>
      <c r="S174" s="41">
        <f t="shared" si="81"/>
        <v>1</v>
      </c>
      <c r="T174" s="41">
        <f t="shared" si="81"/>
        <v>1</v>
      </c>
      <c r="U174" s="41">
        <f t="shared" si="81"/>
        <v>1</v>
      </c>
      <c r="V174" s="41">
        <f t="shared" si="81"/>
        <v>1</v>
      </c>
    </row>
    <row r="175" spans="1:22" x14ac:dyDescent="0.25">
      <c r="A175" s="32" t="s">
        <v>20</v>
      </c>
      <c r="B175" s="33" t="s">
        <v>41</v>
      </c>
      <c r="C175" s="41">
        <f t="shared" ref="C175:V175" si="82">C19</f>
        <v>1</v>
      </c>
      <c r="D175" s="41">
        <f t="shared" si="82"/>
        <v>1</v>
      </c>
      <c r="E175" s="41">
        <f t="shared" si="82"/>
        <v>1</v>
      </c>
      <c r="F175" s="41">
        <f t="shared" si="82"/>
        <v>1</v>
      </c>
      <c r="G175" s="41">
        <f t="shared" si="82"/>
        <v>1</v>
      </c>
      <c r="H175" s="41">
        <f t="shared" si="82"/>
        <v>1</v>
      </c>
      <c r="I175" s="41">
        <f t="shared" si="82"/>
        <v>1</v>
      </c>
      <c r="J175" s="41">
        <f t="shared" si="82"/>
        <v>1</v>
      </c>
      <c r="K175" s="41">
        <f t="shared" si="82"/>
        <v>1</v>
      </c>
      <c r="L175" s="41">
        <f t="shared" si="82"/>
        <v>1</v>
      </c>
      <c r="M175" s="41">
        <f t="shared" si="82"/>
        <v>1</v>
      </c>
      <c r="N175" s="41">
        <f t="shared" si="82"/>
        <v>1</v>
      </c>
      <c r="O175" s="41">
        <f t="shared" si="82"/>
        <v>1</v>
      </c>
      <c r="P175" s="41">
        <f t="shared" si="82"/>
        <v>1</v>
      </c>
      <c r="Q175" s="41">
        <f t="shared" si="82"/>
        <v>1</v>
      </c>
      <c r="R175" s="41">
        <f t="shared" si="82"/>
        <v>1</v>
      </c>
      <c r="S175" s="41">
        <f t="shared" si="82"/>
        <v>1</v>
      </c>
      <c r="T175" s="41">
        <f t="shared" si="82"/>
        <v>1</v>
      </c>
      <c r="U175" s="41">
        <f t="shared" si="82"/>
        <v>1</v>
      </c>
      <c r="V175" s="41">
        <f t="shared" si="82"/>
        <v>1</v>
      </c>
    </row>
    <row r="176" spans="1:22" x14ac:dyDescent="0.25">
      <c r="A176" s="32" t="s">
        <v>21</v>
      </c>
      <c r="B176" s="33" t="s">
        <v>41</v>
      </c>
      <c r="C176" s="41">
        <f t="shared" ref="C176:V176" si="83">C20</f>
        <v>1</v>
      </c>
      <c r="D176" s="41">
        <f t="shared" si="83"/>
        <v>1</v>
      </c>
      <c r="E176" s="41">
        <f t="shared" si="83"/>
        <v>1</v>
      </c>
      <c r="F176" s="41">
        <f t="shared" si="83"/>
        <v>1</v>
      </c>
      <c r="G176" s="41">
        <f t="shared" si="83"/>
        <v>1</v>
      </c>
      <c r="H176" s="41">
        <f t="shared" si="83"/>
        <v>0</v>
      </c>
      <c r="I176" s="41">
        <f t="shared" si="83"/>
        <v>0</v>
      </c>
      <c r="J176" s="41">
        <f t="shared" si="83"/>
        <v>0</v>
      </c>
      <c r="K176" s="41">
        <f t="shared" si="83"/>
        <v>0</v>
      </c>
      <c r="L176" s="41">
        <f t="shared" si="83"/>
        <v>0</v>
      </c>
      <c r="M176" s="41">
        <f t="shared" si="83"/>
        <v>0</v>
      </c>
      <c r="N176" s="41">
        <f t="shared" si="83"/>
        <v>0</v>
      </c>
      <c r="O176" s="41">
        <f t="shared" si="83"/>
        <v>0</v>
      </c>
      <c r="P176" s="41">
        <f t="shared" si="83"/>
        <v>0</v>
      </c>
      <c r="Q176" s="41">
        <f t="shared" si="83"/>
        <v>0</v>
      </c>
      <c r="R176" s="41">
        <f t="shared" si="83"/>
        <v>0</v>
      </c>
      <c r="S176" s="41">
        <f t="shared" si="83"/>
        <v>0</v>
      </c>
      <c r="T176" s="41">
        <f t="shared" si="83"/>
        <v>0</v>
      </c>
      <c r="U176" s="41">
        <f t="shared" si="83"/>
        <v>0</v>
      </c>
      <c r="V176" s="41">
        <f t="shared" si="83"/>
        <v>0</v>
      </c>
    </row>
    <row r="177" spans="1:22" x14ac:dyDescent="0.25">
      <c r="A177" s="32" t="s">
        <v>24</v>
      </c>
      <c r="B177" s="45" t="s">
        <v>42</v>
      </c>
      <c r="C177" s="41">
        <f t="shared" ref="C177:V177" si="84">C21</f>
        <v>0</v>
      </c>
      <c r="D177" s="41">
        <f t="shared" si="84"/>
        <v>0</v>
      </c>
      <c r="E177" s="41">
        <f t="shared" si="84"/>
        <v>0</v>
      </c>
      <c r="F177" s="41">
        <f t="shared" si="84"/>
        <v>0</v>
      </c>
      <c r="G177" s="41">
        <f t="shared" si="84"/>
        <v>0</v>
      </c>
      <c r="H177" s="41">
        <f t="shared" si="84"/>
        <v>0</v>
      </c>
      <c r="I177" s="41">
        <f t="shared" si="84"/>
        <v>0</v>
      </c>
      <c r="J177" s="41">
        <f t="shared" si="84"/>
        <v>0</v>
      </c>
      <c r="K177" s="41">
        <f t="shared" si="84"/>
        <v>0</v>
      </c>
      <c r="L177" s="41">
        <f t="shared" si="84"/>
        <v>0</v>
      </c>
      <c r="M177" s="41">
        <f t="shared" si="84"/>
        <v>0</v>
      </c>
      <c r="N177" s="41">
        <f t="shared" si="84"/>
        <v>0</v>
      </c>
      <c r="O177" s="41">
        <f t="shared" si="84"/>
        <v>0</v>
      </c>
      <c r="P177" s="41">
        <f t="shared" si="84"/>
        <v>0</v>
      </c>
      <c r="Q177" s="41">
        <f t="shared" si="84"/>
        <v>0</v>
      </c>
      <c r="R177" s="41">
        <f t="shared" si="84"/>
        <v>0</v>
      </c>
      <c r="S177" s="41">
        <f t="shared" si="84"/>
        <v>0</v>
      </c>
      <c r="T177" s="41">
        <f t="shared" si="84"/>
        <v>0</v>
      </c>
      <c r="U177" s="41">
        <f t="shared" si="84"/>
        <v>0</v>
      </c>
      <c r="V177" s="41">
        <f t="shared" si="84"/>
        <v>0</v>
      </c>
    </row>
    <row r="178" spans="1:22" x14ac:dyDescent="0.25">
      <c r="A178" s="32" t="s">
        <v>57</v>
      </c>
      <c r="B178" s="33" t="s">
        <v>41</v>
      </c>
      <c r="C178" s="41">
        <f t="shared" ref="C178:V178" si="85">C22</f>
        <v>1</v>
      </c>
      <c r="D178" s="41">
        <f t="shared" si="85"/>
        <v>1</v>
      </c>
      <c r="E178" s="41">
        <f t="shared" si="85"/>
        <v>1</v>
      </c>
      <c r="F178" s="41">
        <f t="shared" si="85"/>
        <v>1</v>
      </c>
      <c r="G178" s="41">
        <f t="shared" si="85"/>
        <v>1</v>
      </c>
      <c r="H178" s="41">
        <f t="shared" si="85"/>
        <v>0</v>
      </c>
      <c r="I178" s="41">
        <f t="shared" si="85"/>
        <v>0</v>
      </c>
      <c r="J178" s="41">
        <f t="shared" si="85"/>
        <v>0</v>
      </c>
      <c r="K178" s="41">
        <f t="shared" si="85"/>
        <v>0</v>
      </c>
      <c r="L178" s="41">
        <f t="shared" si="85"/>
        <v>0</v>
      </c>
      <c r="M178" s="41">
        <f t="shared" si="85"/>
        <v>0</v>
      </c>
      <c r="N178" s="41">
        <f t="shared" si="85"/>
        <v>0</v>
      </c>
      <c r="O178" s="41">
        <f t="shared" si="85"/>
        <v>0</v>
      </c>
      <c r="P178" s="41">
        <f t="shared" si="85"/>
        <v>0</v>
      </c>
      <c r="Q178" s="41">
        <f t="shared" si="85"/>
        <v>0</v>
      </c>
      <c r="R178" s="41">
        <f t="shared" si="85"/>
        <v>0</v>
      </c>
      <c r="S178" s="41">
        <f t="shared" si="85"/>
        <v>0</v>
      </c>
      <c r="T178" s="41">
        <f t="shared" si="85"/>
        <v>0</v>
      </c>
      <c r="U178" s="41">
        <f t="shared" si="85"/>
        <v>0</v>
      </c>
      <c r="V178" s="41">
        <f t="shared" si="85"/>
        <v>0</v>
      </c>
    </row>
    <row r="179" spans="1:22" x14ac:dyDescent="0.25">
      <c r="A179" s="32" t="s">
        <v>22</v>
      </c>
      <c r="B179" s="33" t="s">
        <v>41</v>
      </c>
      <c r="C179" s="41">
        <f t="shared" ref="C179:V179" si="86">C23</f>
        <v>1</v>
      </c>
      <c r="D179" s="41">
        <f t="shared" si="86"/>
        <v>1</v>
      </c>
      <c r="E179" s="41">
        <f t="shared" si="86"/>
        <v>1</v>
      </c>
      <c r="F179" s="41">
        <f t="shared" si="86"/>
        <v>1</v>
      </c>
      <c r="G179" s="41">
        <f t="shared" si="86"/>
        <v>0</v>
      </c>
      <c r="H179" s="41">
        <f t="shared" si="86"/>
        <v>0</v>
      </c>
      <c r="I179" s="41">
        <f t="shared" si="86"/>
        <v>0</v>
      </c>
      <c r="J179" s="41">
        <f t="shared" si="86"/>
        <v>0</v>
      </c>
      <c r="K179" s="41">
        <f t="shared" si="86"/>
        <v>0</v>
      </c>
      <c r="L179" s="41">
        <f t="shared" si="86"/>
        <v>0</v>
      </c>
      <c r="M179" s="41">
        <f t="shared" si="86"/>
        <v>0</v>
      </c>
      <c r="N179" s="41">
        <f t="shared" si="86"/>
        <v>0</v>
      </c>
      <c r="O179" s="41">
        <f t="shared" si="86"/>
        <v>0</v>
      </c>
      <c r="P179" s="41">
        <f t="shared" si="86"/>
        <v>0</v>
      </c>
      <c r="Q179" s="41">
        <f t="shared" si="86"/>
        <v>0</v>
      </c>
      <c r="R179" s="41">
        <f t="shared" si="86"/>
        <v>0</v>
      </c>
      <c r="S179" s="41">
        <f t="shared" si="86"/>
        <v>0</v>
      </c>
      <c r="T179" s="41">
        <f t="shared" si="86"/>
        <v>0</v>
      </c>
      <c r="U179" s="41">
        <f t="shared" si="86"/>
        <v>0</v>
      </c>
      <c r="V179" s="41">
        <f t="shared" si="86"/>
        <v>0</v>
      </c>
    </row>
    <row r="180" spans="1:22" x14ac:dyDescent="0.25">
      <c r="A180" s="32" t="s">
        <v>23</v>
      </c>
      <c r="B180" s="40" t="s">
        <v>43</v>
      </c>
      <c r="C180" s="41">
        <f t="shared" ref="C180:V180" si="87">C24</f>
        <v>1</v>
      </c>
      <c r="D180" s="41">
        <f t="shared" si="87"/>
        <v>1</v>
      </c>
      <c r="E180" s="41">
        <f t="shared" si="87"/>
        <v>1</v>
      </c>
      <c r="F180" s="41">
        <f t="shared" si="87"/>
        <v>1</v>
      </c>
      <c r="G180" s="41">
        <f t="shared" si="87"/>
        <v>1</v>
      </c>
      <c r="H180" s="41">
        <f t="shared" si="87"/>
        <v>1</v>
      </c>
      <c r="I180" s="41">
        <f t="shared" si="87"/>
        <v>1</v>
      </c>
      <c r="J180" s="41">
        <f t="shared" si="87"/>
        <v>1</v>
      </c>
      <c r="K180" s="41">
        <f t="shared" si="87"/>
        <v>1</v>
      </c>
      <c r="L180" s="41">
        <f t="shared" si="87"/>
        <v>1</v>
      </c>
      <c r="M180" s="41">
        <f t="shared" si="87"/>
        <v>0</v>
      </c>
      <c r="N180" s="41">
        <f t="shared" si="87"/>
        <v>0</v>
      </c>
      <c r="O180" s="41">
        <f t="shared" si="87"/>
        <v>0</v>
      </c>
      <c r="P180" s="41">
        <f t="shared" si="87"/>
        <v>0</v>
      </c>
      <c r="Q180" s="41">
        <f t="shared" si="87"/>
        <v>0</v>
      </c>
      <c r="R180" s="41">
        <f t="shared" si="87"/>
        <v>0</v>
      </c>
      <c r="S180" s="41">
        <f t="shared" si="87"/>
        <v>0</v>
      </c>
      <c r="T180" s="41">
        <f t="shared" si="87"/>
        <v>0</v>
      </c>
      <c r="U180" s="41">
        <f t="shared" si="87"/>
        <v>0</v>
      </c>
      <c r="V180" s="41">
        <f t="shared" si="87"/>
        <v>0</v>
      </c>
    </row>
    <row r="181" spans="1:22" x14ac:dyDescent="0.25">
      <c r="A181" s="32" t="s">
        <v>25</v>
      </c>
      <c r="B181" s="33" t="s">
        <v>44</v>
      </c>
      <c r="C181" s="41">
        <f t="shared" ref="C181:V181" si="88">C25</f>
        <v>1</v>
      </c>
      <c r="D181" s="41">
        <f t="shared" si="88"/>
        <v>1</v>
      </c>
      <c r="E181" s="41">
        <f t="shared" si="88"/>
        <v>1</v>
      </c>
      <c r="F181" s="41">
        <f t="shared" si="88"/>
        <v>1</v>
      </c>
      <c r="G181" s="41">
        <f t="shared" si="88"/>
        <v>0</v>
      </c>
      <c r="H181" s="41">
        <f t="shared" si="88"/>
        <v>0</v>
      </c>
      <c r="I181" s="41">
        <f t="shared" si="88"/>
        <v>0</v>
      </c>
      <c r="J181" s="41">
        <f t="shared" si="88"/>
        <v>0</v>
      </c>
      <c r="K181" s="41">
        <f t="shared" si="88"/>
        <v>0</v>
      </c>
      <c r="L181" s="41">
        <f t="shared" si="88"/>
        <v>0</v>
      </c>
      <c r="M181" s="41">
        <f t="shared" si="88"/>
        <v>0</v>
      </c>
      <c r="N181" s="41">
        <f t="shared" si="88"/>
        <v>0</v>
      </c>
      <c r="O181" s="41">
        <f t="shared" si="88"/>
        <v>0</v>
      </c>
      <c r="P181" s="41">
        <f t="shared" si="88"/>
        <v>0</v>
      </c>
      <c r="Q181" s="41">
        <f t="shared" si="88"/>
        <v>0</v>
      </c>
      <c r="R181" s="41">
        <f t="shared" si="88"/>
        <v>0</v>
      </c>
      <c r="S181" s="41">
        <f t="shared" si="88"/>
        <v>0</v>
      </c>
      <c r="T181" s="41">
        <f t="shared" si="88"/>
        <v>0</v>
      </c>
      <c r="U181" s="41">
        <f t="shared" si="88"/>
        <v>0</v>
      </c>
      <c r="V181" s="41">
        <f t="shared" si="88"/>
        <v>0</v>
      </c>
    </row>
    <row r="182" spans="1:22" x14ac:dyDescent="0.25">
      <c r="A182" s="32" t="s">
        <v>58</v>
      </c>
      <c r="B182" s="33" t="s">
        <v>41</v>
      </c>
      <c r="C182" s="41">
        <f t="shared" ref="C182:V182" si="89">C26</f>
        <v>1</v>
      </c>
      <c r="D182" s="41">
        <f t="shared" si="89"/>
        <v>0</v>
      </c>
      <c r="E182" s="41">
        <f t="shared" si="89"/>
        <v>0</v>
      </c>
      <c r="F182" s="41">
        <f t="shared" si="89"/>
        <v>0</v>
      </c>
      <c r="G182" s="41">
        <f t="shared" si="89"/>
        <v>0</v>
      </c>
      <c r="H182" s="41">
        <f t="shared" si="89"/>
        <v>0</v>
      </c>
      <c r="I182" s="41">
        <f t="shared" si="89"/>
        <v>0</v>
      </c>
      <c r="J182" s="41">
        <f t="shared" si="89"/>
        <v>0</v>
      </c>
      <c r="K182" s="41">
        <f t="shared" si="89"/>
        <v>0</v>
      </c>
      <c r="L182" s="41">
        <f t="shared" si="89"/>
        <v>0</v>
      </c>
      <c r="M182" s="41">
        <f t="shared" si="89"/>
        <v>0</v>
      </c>
      <c r="N182" s="41">
        <f t="shared" si="89"/>
        <v>0</v>
      </c>
      <c r="O182" s="41">
        <f t="shared" si="89"/>
        <v>0</v>
      </c>
      <c r="P182" s="41">
        <f t="shared" si="89"/>
        <v>0</v>
      </c>
      <c r="Q182" s="41">
        <f t="shared" si="89"/>
        <v>0</v>
      </c>
      <c r="R182" s="41">
        <f t="shared" si="89"/>
        <v>0</v>
      </c>
      <c r="S182" s="41">
        <f t="shared" si="89"/>
        <v>0</v>
      </c>
      <c r="T182" s="41">
        <f t="shared" si="89"/>
        <v>0</v>
      </c>
      <c r="U182" s="41">
        <f t="shared" si="89"/>
        <v>0</v>
      </c>
      <c r="V182" s="41">
        <f t="shared" si="89"/>
        <v>0</v>
      </c>
    </row>
    <row r="183" spans="1:22" x14ac:dyDescent="0.25">
      <c r="A183" s="32" t="s">
        <v>59</v>
      </c>
      <c r="B183" s="33" t="s">
        <v>41</v>
      </c>
      <c r="C183" s="41">
        <f t="shared" ref="C183:V183" si="90">C27</f>
        <v>1</v>
      </c>
      <c r="D183" s="41">
        <f t="shared" si="90"/>
        <v>1</v>
      </c>
      <c r="E183" s="41">
        <f t="shared" si="90"/>
        <v>1</v>
      </c>
      <c r="F183" s="41">
        <f t="shared" si="90"/>
        <v>0</v>
      </c>
      <c r="G183" s="41">
        <f t="shared" si="90"/>
        <v>0</v>
      </c>
      <c r="H183" s="41">
        <f t="shared" si="90"/>
        <v>0</v>
      </c>
      <c r="I183" s="41">
        <f t="shared" si="90"/>
        <v>0</v>
      </c>
      <c r="J183" s="41">
        <f t="shared" si="90"/>
        <v>0</v>
      </c>
      <c r="K183" s="41">
        <f t="shared" si="90"/>
        <v>0</v>
      </c>
      <c r="L183" s="41">
        <f t="shared" si="90"/>
        <v>0</v>
      </c>
      <c r="M183" s="41">
        <f t="shared" si="90"/>
        <v>0</v>
      </c>
      <c r="N183" s="41">
        <f t="shared" si="90"/>
        <v>0</v>
      </c>
      <c r="O183" s="41">
        <f t="shared" si="90"/>
        <v>0</v>
      </c>
      <c r="P183" s="41">
        <f t="shared" si="90"/>
        <v>0</v>
      </c>
      <c r="Q183" s="41">
        <f t="shared" si="90"/>
        <v>0</v>
      </c>
      <c r="R183" s="41">
        <f t="shared" si="90"/>
        <v>0</v>
      </c>
      <c r="S183" s="41">
        <f t="shared" si="90"/>
        <v>0</v>
      </c>
      <c r="T183" s="41">
        <f t="shared" si="90"/>
        <v>0</v>
      </c>
      <c r="U183" s="41">
        <f t="shared" si="90"/>
        <v>0</v>
      </c>
      <c r="V183" s="41">
        <f t="shared" si="90"/>
        <v>0</v>
      </c>
    </row>
    <row r="184" spans="1:22" x14ac:dyDescent="0.25">
      <c r="A184" s="32" t="s">
        <v>60</v>
      </c>
      <c r="B184" s="33" t="s">
        <v>41</v>
      </c>
      <c r="C184" s="41">
        <f t="shared" ref="C184:V184" si="91">C28</f>
        <v>1</v>
      </c>
      <c r="D184" s="41">
        <f t="shared" si="91"/>
        <v>1</v>
      </c>
      <c r="E184" s="41">
        <f t="shared" si="91"/>
        <v>1</v>
      </c>
      <c r="F184" s="41">
        <f t="shared" si="91"/>
        <v>1</v>
      </c>
      <c r="G184" s="41">
        <f t="shared" si="91"/>
        <v>1</v>
      </c>
      <c r="H184" s="41">
        <f t="shared" si="91"/>
        <v>1</v>
      </c>
      <c r="I184" s="41">
        <f t="shared" si="91"/>
        <v>0</v>
      </c>
      <c r="J184" s="41">
        <f t="shared" si="91"/>
        <v>0</v>
      </c>
      <c r="K184" s="41">
        <f t="shared" si="91"/>
        <v>0</v>
      </c>
      <c r="L184" s="41">
        <f t="shared" si="91"/>
        <v>0</v>
      </c>
      <c r="M184" s="41">
        <f t="shared" si="91"/>
        <v>0</v>
      </c>
      <c r="N184" s="41">
        <f t="shared" si="91"/>
        <v>0</v>
      </c>
      <c r="O184" s="41">
        <f t="shared" si="91"/>
        <v>0</v>
      </c>
      <c r="P184" s="41">
        <f t="shared" si="91"/>
        <v>0</v>
      </c>
      <c r="Q184" s="41">
        <f t="shared" si="91"/>
        <v>0</v>
      </c>
      <c r="R184" s="41">
        <f t="shared" si="91"/>
        <v>0</v>
      </c>
      <c r="S184" s="41">
        <f t="shared" si="91"/>
        <v>0</v>
      </c>
      <c r="T184" s="41">
        <f t="shared" si="91"/>
        <v>0</v>
      </c>
      <c r="U184" s="41">
        <f t="shared" si="91"/>
        <v>0</v>
      </c>
      <c r="V184" s="41">
        <f t="shared" si="91"/>
        <v>0</v>
      </c>
    </row>
    <row r="185" spans="1:22" x14ac:dyDescent="0.25">
      <c r="A185" s="32" t="s">
        <v>26</v>
      </c>
      <c r="B185" s="40" t="s">
        <v>45</v>
      </c>
      <c r="C185" s="41">
        <f t="shared" ref="C185:V185" si="92">C29</f>
        <v>1</v>
      </c>
      <c r="D185" s="41">
        <f t="shared" si="92"/>
        <v>1</v>
      </c>
      <c r="E185" s="41">
        <f t="shared" si="92"/>
        <v>1</v>
      </c>
      <c r="F185" s="41">
        <f t="shared" si="92"/>
        <v>1</v>
      </c>
      <c r="G185" s="41">
        <f t="shared" si="92"/>
        <v>1</v>
      </c>
      <c r="H185" s="41">
        <f t="shared" si="92"/>
        <v>1</v>
      </c>
      <c r="I185" s="41">
        <f t="shared" si="92"/>
        <v>1</v>
      </c>
      <c r="J185" s="41">
        <f t="shared" si="92"/>
        <v>1</v>
      </c>
      <c r="K185" s="41">
        <f t="shared" si="92"/>
        <v>1</v>
      </c>
      <c r="L185" s="41">
        <f t="shared" si="92"/>
        <v>1</v>
      </c>
      <c r="M185" s="41">
        <f t="shared" si="92"/>
        <v>1</v>
      </c>
      <c r="N185" s="41">
        <f t="shared" si="92"/>
        <v>1</v>
      </c>
      <c r="O185" s="41">
        <f t="shared" si="92"/>
        <v>1</v>
      </c>
      <c r="P185" s="41">
        <f t="shared" si="92"/>
        <v>1</v>
      </c>
      <c r="Q185" s="41">
        <f t="shared" si="92"/>
        <v>1</v>
      </c>
      <c r="R185" s="41">
        <f t="shared" si="92"/>
        <v>1</v>
      </c>
      <c r="S185" s="41">
        <f t="shared" si="92"/>
        <v>1</v>
      </c>
      <c r="T185" s="41">
        <f t="shared" si="92"/>
        <v>1</v>
      </c>
      <c r="U185" s="41">
        <f t="shared" si="92"/>
        <v>1</v>
      </c>
      <c r="V185" s="41">
        <f t="shared" si="92"/>
        <v>1</v>
      </c>
    </row>
    <row r="186" spans="1:22" x14ac:dyDescent="0.25">
      <c r="A186" s="32" t="s">
        <v>61</v>
      </c>
      <c r="B186" s="40" t="s">
        <v>42</v>
      </c>
      <c r="C186" s="41">
        <f t="shared" ref="C186:V186" si="93">C30</f>
        <v>1</v>
      </c>
      <c r="D186" s="41">
        <f t="shared" si="93"/>
        <v>1</v>
      </c>
      <c r="E186" s="41">
        <f t="shared" si="93"/>
        <v>1</v>
      </c>
      <c r="F186" s="41">
        <f t="shared" si="93"/>
        <v>1</v>
      </c>
      <c r="G186" s="41">
        <f t="shared" si="93"/>
        <v>1</v>
      </c>
      <c r="H186" s="41">
        <f t="shared" si="93"/>
        <v>1</v>
      </c>
      <c r="I186" s="41">
        <f t="shared" si="93"/>
        <v>1</v>
      </c>
      <c r="J186" s="41">
        <f t="shared" si="93"/>
        <v>1</v>
      </c>
      <c r="K186" s="41">
        <f t="shared" si="93"/>
        <v>1</v>
      </c>
      <c r="L186" s="41">
        <f t="shared" si="93"/>
        <v>1</v>
      </c>
      <c r="M186" s="41">
        <f t="shared" si="93"/>
        <v>1</v>
      </c>
      <c r="N186" s="41">
        <f t="shared" si="93"/>
        <v>1</v>
      </c>
      <c r="O186" s="41">
        <f t="shared" si="93"/>
        <v>1</v>
      </c>
      <c r="P186" s="41">
        <f t="shared" si="93"/>
        <v>1</v>
      </c>
      <c r="Q186" s="41">
        <f t="shared" si="93"/>
        <v>1</v>
      </c>
      <c r="R186" s="41">
        <f t="shared" si="93"/>
        <v>1</v>
      </c>
      <c r="S186" s="41">
        <f t="shared" si="93"/>
        <v>1</v>
      </c>
      <c r="T186" s="41">
        <f t="shared" si="93"/>
        <v>1</v>
      </c>
      <c r="U186" s="41">
        <f t="shared" si="93"/>
        <v>1</v>
      </c>
      <c r="V186" s="41">
        <f t="shared" si="93"/>
        <v>1</v>
      </c>
    </row>
    <row r="187" spans="1:22" x14ac:dyDescent="0.25">
      <c r="A187" s="32" t="s">
        <v>71</v>
      </c>
      <c r="B187" s="33" t="s">
        <v>40</v>
      </c>
      <c r="C187" s="41">
        <f t="shared" ref="C187:V187" si="94">C31</f>
        <v>1</v>
      </c>
      <c r="D187" s="41">
        <f t="shared" si="94"/>
        <v>1</v>
      </c>
      <c r="E187" s="41">
        <f t="shared" si="94"/>
        <v>0</v>
      </c>
      <c r="F187" s="41">
        <f t="shared" si="94"/>
        <v>0</v>
      </c>
      <c r="G187" s="41">
        <f t="shared" si="94"/>
        <v>0</v>
      </c>
      <c r="H187" s="41">
        <f t="shared" si="94"/>
        <v>0</v>
      </c>
      <c r="I187" s="41">
        <f t="shared" si="94"/>
        <v>0</v>
      </c>
      <c r="J187" s="41">
        <f t="shared" si="94"/>
        <v>0</v>
      </c>
      <c r="K187" s="41">
        <f t="shared" si="94"/>
        <v>0</v>
      </c>
      <c r="L187" s="41">
        <f t="shared" si="94"/>
        <v>0</v>
      </c>
      <c r="M187" s="41">
        <f t="shared" si="94"/>
        <v>0</v>
      </c>
      <c r="N187" s="41">
        <f t="shared" si="94"/>
        <v>0</v>
      </c>
      <c r="O187" s="41">
        <f t="shared" si="94"/>
        <v>0</v>
      </c>
      <c r="P187" s="41">
        <f t="shared" si="94"/>
        <v>0</v>
      </c>
      <c r="Q187" s="41">
        <f t="shared" si="94"/>
        <v>0</v>
      </c>
      <c r="R187" s="41">
        <f t="shared" si="94"/>
        <v>0</v>
      </c>
      <c r="S187" s="41">
        <f t="shared" si="94"/>
        <v>0</v>
      </c>
      <c r="T187" s="41">
        <f t="shared" si="94"/>
        <v>0</v>
      </c>
      <c r="U187" s="41">
        <f t="shared" si="94"/>
        <v>0</v>
      </c>
      <c r="V187" s="41">
        <f t="shared" si="94"/>
        <v>0</v>
      </c>
    </row>
    <row r="188" spans="1:22" x14ac:dyDescent="0.25">
      <c r="A188" s="32" t="s">
        <v>27</v>
      </c>
      <c r="B188" s="40" t="s">
        <v>45</v>
      </c>
      <c r="C188" s="41">
        <f t="shared" ref="C188:V188" si="95">C32</f>
        <v>1</v>
      </c>
      <c r="D188" s="41">
        <f t="shared" si="95"/>
        <v>0</v>
      </c>
      <c r="E188" s="41">
        <f t="shared" si="95"/>
        <v>0</v>
      </c>
      <c r="F188" s="41">
        <f t="shared" si="95"/>
        <v>0</v>
      </c>
      <c r="G188" s="41">
        <f t="shared" si="95"/>
        <v>0</v>
      </c>
      <c r="H188" s="41">
        <f t="shared" si="95"/>
        <v>0</v>
      </c>
      <c r="I188" s="41">
        <f t="shared" si="95"/>
        <v>0</v>
      </c>
      <c r="J188" s="41">
        <f t="shared" si="95"/>
        <v>0</v>
      </c>
      <c r="K188" s="41">
        <f t="shared" si="95"/>
        <v>0</v>
      </c>
      <c r="L188" s="41">
        <f t="shared" si="95"/>
        <v>0</v>
      </c>
      <c r="M188" s="41">
        <f t="shared" si="95"/>
        <v>0</v>
      </c>
      <c r="N188" s="41">
        <f t="shared" si="95"/>
        <v>0</v>
      </c>
      <c r="O188" s="41">
        <f t="shared" si="95"/>
        <v>0</v>
      </c>
      <c r="P188" s="41">
        <f t="shared" si="95"/>
        <v>0</v>
      </c>
      <c r="Q188" s="41">
        <f t="shared" si="95"/>
        <v>0</v>
      </c>
      <c r="R188" s="41">
        <f t="shared" si="95"/>
        <v>0</v>
      </c>
      <c r="S188" s="41">
        <f t="shared" si="95"/>
        <v>0</v>
      </c>
      <c r="T188" s="41">
        <f t="shared" si="95"/>
        <v>0</v>
      </c>
      <c r="U188" s="41">
        <f t="shared" si="95"/>
        <v>0</v>
      </c>
      <c r="V188" s="41">
        <f t="shared" si="95"/>
        <v>0</v>
      </c>
    </row>
    <row r="189" spans="1:22" x14ac:dyDescent="0.25">
      <c r="A189" s="32" t="s">
        <v>39</v>
      </c>
      <c r="B189" s="33" t="s">
        <v>41</v>
      </c>
      <c r="C189" s="41">
        <f t="shared" ref="C189:V189" si="96">C33</f>
        <v>1</v>
      </c>
      <c r="D189" s="41">
        <f t="shared" si="96"/>
        <v>1</v>
      </c>
      <c r="E189" s="41">
        <f t="shared" si="96"/>
        <v>1</v>
      </c>
      <c r="F189" s="41">
        <f t="shared" si="96"/>
        <v>1</v>
      </c>
      <c r="G189" s="41">
        <f t="shared" si="96"/>
        <v>0</v>
      </c>
      <c r="H189" s="41">
        <f t="shared" si="96"/>
        <v>0</v>
      </c>
      <c r="I189" s="41">
        <f t="shared" si="96"/>
        <v>0</v>
      </c>
      <c r="J189" s="41">
        <f t="shared" si="96"/>
        <v>0</v>
      </c>
      <c r="K189" s="41">
        <f t="shared" si="96"/>
        <v>0</v>
      </c>
      <c r="L189" s="41">
        <f t="shared" si="96"/>
        <v>0</v>
      </c>
      <c r="M189" s="41">
        <f t="shared" si="96"/>
        <v>0</v>
      </c>
      <c r="N189" s="41">
        <f t="shared" si="96"/>
        <v>0</v>
      </c>
      <c r="O189" s="41">
        <f t="shared" si="96"/>
        <v>0</v>
      </c>
      <c r="P189" s="41">
        <f t="shared" si="96"/>
        <v>0</v>
      </c>
      <c r="Q189" s="41">
        <f t="shared" si="96"/>
        <v>0</v>
      </c>
      <c r="R189" s="41">
        <f t="shared" si="96"/>
        <v>0</v>
      </c>
      <c r="S189" s="41">
        <f t="shared" si="96"/>
        <v>0</v>
      </c>
      <c r="T189" s="41">
        <f t="shared" si="96"/>
        <v>0</v>
      </c>
      <c r="U189" s="41">
        <f t="shared" si="96"/>
        <v>0</v>
      </c>
      <c r="V189" s="41">
        <f t="shared" si="96"/>
        <v>0</v>
      </c>
    </row>
    <row r="190" spans="1:22" x14ac:dyDescent="0.25">
      <c r="A190" s="32" t="s">
        <v>28</v>
      </c>
      <c r="B190" s="32"/>
      <c r="C190" s="41">
        <f t="shared" ref="C190:V190" si="97">C34</f>
        <v>1</v>
      </c>
      <c r="D190" s="41">
        <f t="shared" si="97"/>
        <v>0</v>
      </c>
      <c r="E190" s="41">
        <f t="shared" si="97"/>
        <v>0</v>
      </c>
      <c r="F190" s="41">
        <f t="shared" si="97"/>
        <v>0</v>
      </c>
      <c r="G190" s="41">
        <f t="shared" si="97"/>
        <v>0</v>
      </c>
      <c r="H190" s="41">
        <f t="shared" si="97"/>
        <v>0</v>
      </c>
      <c r="I190" s="41">
        <f t="shared" si="97"/>
        <v>0</v>
      </c>
      <c r="J190" s="41">
        <f t="shared" si="97"/>
        <v>0</v>
      </c>
      <c r="K190" s="41">
        <f t="shared" si="97"/>
        <v>0</v>
      </c>
      <c r="L190" s="41">
        <f t="shared" si="97"/>
        <v>0</v>
      </c>
      <c r="M190" s="41">
        <f t="shared" si="97"/>
        <v>0</v>
      </c>
      <c r="N190" s="41">
        <f t="shared" si="97"/>
        <v>0</v>
      </c>
      <c r="O190" s="41">
        <f t="shared" si="97"/>
        <v>0</v>
      </c>
      <c r="P190" s="41">
        <f t="shared" si="97"/>
        <v>0</v>
      </c>
      <c r="Q190" s="41">
        <f t="shared" si="97"/>
        <v>0</v>
      </c>
      <c r="R190" s="41">
        <f t="shared" si="97"/>
        <v>0</v>
      </c>
      <c r="S190" s="41">
        <f t="shared" si="97"/>
        <v>0</v>
      </c>
      <c r="T190" s="41">
        <f t="shared" si="97"/>
        <v>0</v>
      </c>
      <c r="U190" s="41">
        <f t="shared" si="97"/>
        <v>0</v>
      </c>
      <c r="V190" s="41">
        <f t="shared" si="97"/>
        <v>0</v>
      </c>
    </row>
    <row r="191" spans="1:22" x14ac:dyDescent="0.25">
      <c r="A191" s="32" t="s">
        <v>62</v>
      </c>
      <c r="B191" s="33" t="s">
        <v>41</v>
      </c>
      <c r="C191" s="41">
        <f t="shared" ref="C191:V191" si="98">C35</f>
        <v>1</v>
      </c>
      <c r="D191" s="41">
        <f t="shared" si="98"/>
        <v>1</v>
      </c>
      <c r="E191" s="41">
        <f t="shared" si="98"/>
        <v>1</v>
      </c>
      <c r="F191" s="41">
        <f t="shared" si="98"/>
        <v>1</v>
      </c>
      <c r="G191" s="41">
        <f t="shared" si="98"/>
        <v>1</v>
      </c>
      <c r="H191" s="41">
        <f t="shared" si="98"/>
        <v>0</v>
      </c>
      <c r="I191" s="41">
        <f t="shared" si="98"/>
        <v>0</v>
      </c>
      <c r="J191" s="41">
        <f t="shared" si="98"/>
        <v>0</v>
      </c>
      <c r="K191" s="41">
        <f t="shared" si="98"/>
        <v>0</v>
      </c>
      <c r="L191" s="41">
        <f t="shared" si="98"/>
        <v>0</v>
      </c>
      <c r="M191" s="41">
        <f t="shared" si="98"/>
        <v>0</v>
      </c>
      <c r="N191" s="41">
        <f t="shared" si="98"/>
        <v>0</v>
      </c>
      <c r="O191" s="41">
        <f t="shared" si="98"/>
        <v>0</v>
      </c>
      <c r="P191" s="41">
        <f t="shared" si="98"/>
        <v>0</v>
      </c>
      <c r="Q191" s="41">
        <f t="shared" si="98"/>
        <v>0</v>
      </c>
      <c r="R191" s="41">
        <f t="shared" si="98"/>
        <v>0</v>
      </c>
      <c r="S191" s="41">
        <f t="shared" si="98"/>
        <v>0</v>
      </c>
      <c r="T191" s="41">
        <f t="shared" si="98"/>
        <v>0</v>
      </c>
      <c r="U191" s="41">
        <f t="shared" si="98"/>
        <v>0</v>
      </c>
      <c r="V191" s="41">
        <f t="shared" si="98"/>
        <v>0</v>
      </c>
    </row>
    <row r="192" spans="1:22" x14ac:dyDescent="0.25">
      <c r="A192" s="32" t="s">
        <v>29</v>
      </c>
      <c r="B192" s="33" t="s">
        <v>41</v>
      </c>
      <c r="C192" s="41">
        <f t="shared" ref="C192:V192" si="99">C36</f>
        <v>1</v>
      </c>
      <c r="D192" s="41">
        <f t="shared" si="99"/>
        <v>1</v>
      </c>
      <c r="E192" s="41">
        <f t="shared" si="99"/>
        <v>1</v>
      </c>
      <c r="F192" s="41">
        <f t="shared" si="99"/>
        <v>0</v>
      </c>
      <c r="G192" s="41">
        <f t="shared" si="99"/>
        <v>0</v>
      </c>
      <c r="H192" s="41">
        <f t="shared" si="99"/>
        <v>0</v>
      </c>
      <c r="I192" s="41">
        <f t="shared" si="99"/>
        <v>0</v>
      </c>
      <c r="J192" s="41">
        <f t="shared" si="99"/>
        <v>0</v>
      </c>
      <c r="K192" s="41">
        <f t="shared" si="99"/>
        <v>0</v>
      </c>
      <c r="L192" s="41">
        <f t="shared" si="99"/>
        <v>0</v>
      </c>
      <c r="M192" s="41">
        <f t="shared" si="99"/>
        <v>0</v>
      </c>
      <c r="N192" s="41">
        <f t="shared" si="99"/>
        <v>0</v>
      </c>
      <c r="O192" s="41">
        <f t="shared" si="99"/>
        <v>0</v>
      </c>
      <c r="P192" s="41">
        <f t="shared" si="99"/>
        <v>0</v>
      </c>
      <c r="Q192" s="41">
        <f t="shared" si="99"/>
        <v>0</v>
      </c>
      <c r="R192" s="41">
        <f t="shared" si="99"/>
        <v>0</v>
      </c>
      <c r="S192" s="41">
        <f t="shared" si="99"/>
        <v>0</v>
      </c>
      <c r="T192" s="41">
        <f t="shared" si="99"/>
        <v>0</v>
      </c>
      <c r="U192" s="41">
        <f t="shared" si="99"/>
        <v>0</v>
      </c>
      <c r="V192" s="41">
        <f t="shared" si="99"/>
        <v>0</v>
      </c>
    </row>
    <row r="193" spans="1:22" x14ac:dyDescent="0.25">
      <c r="A193" s="32" t="s">
        <v>30</v>
      </c>
      <c r="B193" s="40" t="s">
        <v>43</v>
      </c>
      <c r="C193" s="41">
        <f t="shared" ref="C193:V193" si="100">C37</f>
        <v>1</v>
      </c>
      <c r="D193" s="41">
        <f t="shared" si="100"/>
        <v>1</v>
      </c>
      <c r="E193" s="41">
        <f t="shared" si="100"/>
        <v>1</v>
      </c>
      <c r="F193" s="41">
        <f t="shared" si="100"/>
        <v>1</v>
      </c>
      <c r="G193" s="41">
        <f t="shared" si="100"/>
        <v>1</v>
      </c>
      <c r="H193" s="41">
        <f t="shared" si="100"/>
        <v>1</v>
      </c>
      <c r="I193" s="41">
        <f t="shared" si="100"/>
        <v>1</v>
      </c>
      <c r="J193" s="41">
        <f t="shared" si="100"/>
        <v>1</v>
      </c>
      <c r="K193" s="41">
        <f t="shared" si="100"/>
        <v>1</v>
      </c>
      <c r="L193" s="41">
        <f t="shared" si="100"/>
        <v>1</v>
      </c>
      <c r="M193" s="41">
        <f t="shared" si="100"/>
        <v>1</v>
      </c>
      <c r="N193" s="41">
        <f t="shared" si="100"/>
        <v>1</v>
      </c>
      <c r="O193" s="41">
        <f t="shared" si="100"/>
        <v>1</v>
      </c>
      <c r="P193" s="41">
        <f t="shared" si="100"/>
        <v>1</v>
      </c>
      <c r="Q193" s="41">
        <f t="shared" si="100"/>
        <v>1</v>
      </c>
      <c r="R193" s="41">
        <f t="shared" si="100"/>
        <v>1</v>
      </c>
      <c r="S193" s="41">
        <f t="shared" si="100"/>
        <v>1</v>
      </c>
      <c r="T193" s="41">
        <f t="shared" si="100"/>
        <v>1</v>
      </c>
      <c r="U193" s="41">
        <f t="shared" si="100"/>
        <v>1</v>
      </c>
      <c r="V193" s="41">
        <f t="shared" si="100"/>
        <v>1</v>
      </c>
    </row>
    <row r="194" spans="1:22" x14ac:dyDescent="0.25">
      <c r="A194" s="32" t="s">
        <v>31</v>
      </c>
      <c r="B194" s="41" t="s">
        <v>48</v>
      </c>
      <c r="C194" s="41">
        <f t="shared" ref="C194:V194" si="101">C38</f>
        <v>0</v>
      </c>
      <c r="D194" s="41">
        <f t="shared" si="101"/>
        <v>0</v>
      </c>
      <c r="E194" s="41">
        <f t="shared" si="101"/>
        <v>0</v>
      </c>
      <c r="F194" s="41">
        <f t="shared" si="101"/>
        <v>0</v>
      </c>
      <c r="G194" s="41">
        <f t="shared" si="101"/>
        <v>0</v>
      </c>
      <c r="H194" s="41">
        <f t="shared" si="101"/>
        <v>0</v>
      </c>
      <c r="I194" s="41">
        <f t="shared" si="101"/>
        <v>0</v>
      </c>
      <c r="J194" s="41">
        <f t="shared" si="101"/>
        <v>0</v>
      </c>
      <c r="K194" s="41">
        <f t="shared" si="101"/>
        <v>0</v>
      </c>
      <c r="L194" s="41">
        <f t="shared" si="101"/>
        <v>0</v>
      </c>
      <c r="M194" s="41">
        <f t="shared" si="101"/>
        <v>0</v>
      </c>
      <c r="N194" s="41">
        <f t="shared" si="101"/>
        <v>0</v>
      </c>
      <c r="O194" s="41">
        <f t="shared" si="101"/>
        <v>0</v>
      </c>
      <c r="P194" s="41">
        <f t="shared" si="101"/>
        <v>0</v>
      </c>
      <c r="Q194" s="41">
        <f t="shared" si="101"/>
        <v>0</v>
      </c>
      <c r="R194" s="41">
        <f t="shared" si="101"/>
        <v>0</v>
      </c>
      <c r="S194" s="41">
        <f t="shared" si="101"/>
        <v>0</v>
      </c>
      <c r="T194" s="41">
        <f t="shared" si="101"/>
        <v>0</v>
      </c>
      <c r="U194" s="41">
        <f t="shared" si="101"/>
        <v>0</v>
      </c>
      <c r="V194" s="41">
        <f t="shared" si="101"/>
        <v>0</v>
      </c>
    </row>
    <row r="195" spans="1:22" x14ac:dyDescent="0.25">
      <c r="A195" s="32" t="s">
        <v>32</v>
      </c>
      <c r="B195" s="41" t="s">
        <v>48</v>
      </c>
      <c r="C195" s="41">
        <f t="shared" ref="C195:V195" si="102">C39</f>
        <v>0</v>
      </c>
      <c r="D195" s="41">
        <f t="shared" si="102"/>
        <v>0</v>
      </c>
      <c r="E195" s="41">
        <f t="shared" si="102"/>
        <v>0</v>
      </c>
      <c r="F195" s="41">
        <f t="shared" si="102"/>
        <v>0</v>
      </c>
      <c r="G195" s="41">
        <f t="shared" si="102"/>
        <v>0</v>
      </c>
      <c r="H195" s="41">
        <f t="shared" si="102"/>
        <v>0</v>
      </c>
      <c r="I195" s="41">
        <f t="shared" si="102"/>
        <v>0</v>
      </c>
      <c r="J195" s="41">
        <f t="shared" si="102"/>
        <v>0</v>
      </c>
      <c r="K195" s="41">
        <f t="shared" si="102"/>
        <v>0</v>
      </c>
      <c r="L195" s="41">
        <f t="shared" si="102"/>
        <v>0</v>
      </c>
      <c r="M195" s="41">
        <f t="shared" si="102"/>
        <v>0</v>
      </c>
      <c r="N195" s="41">
        <f t="shared" si="102"/>
        <v>0</v>
      </c>
      <c r="O195" s="41">
        <f t="shared" si="102"/>
        <v>0</v>
      </c>
      <c r="P195" s="41">
        <f t="shared" si="102"/>
        <v>0</v>
      </c>
      <c r="Q195" s="41">
        <f t="shared" si="102"/>
        <v>0</v>
      </c>
      <c r="R195" s="41">
        <f t="shared" si="102"/>
        <v>0</v>
      </c>
      <c r="S195" s="41">
        <f t="shared" si="102"/>
        <v>0</v>
      </c>
      <c r="T195" s="41">
        <f t="shared" si="102"/>
        <v>0</v>
      </c>
      <c r="U195" s="41">
        <f t="shared" si="102"/>
        <v>0</v>
      </c>
      <c r="V195" s="41">
        <f t="shared" si="102"/>
        <v>0</v>
      </c>
    </row>
    <row r="196" spans="1:22" x14ac:dyDescent="0.25">
      <c r="A196" s="32" t="s">
        <v>33</v>
      </c>
      <c r="B196" s="33" t="s">
        <v>41</v>
      </c>
      <c r="C196" s="41">
        <f t="shared" ref="C196:V196" si="103">C40</f>
        <v>0</v>
      </c>
      <c r="D196" s="41">
        <f t="shared" si="103"/>
        <v>0</v>
      </c>
      <c r="E196" s="41">
        <f t="shared" si="103"/>
        <v>0</v>
      </c>
      <c r="F196" s="41">
        <f t="shared" si="103"/>
        <v>0</v>
      </c>
      <c r="G196" s="41">
        <f t="shared" si="103"/>
        <v>0</v>
      </c>
      <c r="H196" s="41">
        <f t="shared" si="103"/>
        <v>0</v>
      </c>
      <c r="I196" s="41">
        <f t="shared" si="103"/>
        <v>0</v>
      </c>
      <c r="J196" s="41">
        <f t="shared" si="103"/>
        <v>0</v>
      </c>
      <c r="K196" s="41">
        <f t="shared" si="103"/>
        <v>0</v>
      </c>
      <c r="L196" s="41">
        <f t="shared" si="103"/>
        <v>0</v>
      </c>
      <c r="M196" s="41">
        <f t="shared" si="103"/>
        <v>0</v>
      </c>
      <c r="N196" s="41">
        <f t="shared" si="103"/>
        <v>0</v>
      </c>
      <c r="O196" s="41">
        <f t="shared" si="103"/>
        <v>0</v>
      </c>
      <c r="P196" s="41">
        <f t="shared" si="103"/>
        <v>0</v>
      </c>
      <c r="Q196" s="41">
        <f t="shared" si="103"/>
        <v>0</v>
      </c>
      <c r="R196" s="41">
        <f t="shared" si="103"/>
        <v>0</v>
      </c>
      <c r="S196" s="41">
        <f t="shared" si="103"/>
        <v>0</v>
      </c>
      <c r="T196" s="41">
        <f t="shared" si="103"/>
        <v>0</v>
      </c>
      <c r="U196" s="41">
        <f t="shared" si="103"/>
        <v>0</v>
      </c>
      <c r="V196" s="41">
        <f t="shared" si="103"/>
        <v>0</v>
      </c>
    </row>
    <row r="197" spans="1:22" x14ac:dyDescent="0.25">
      <c r="A197" s="32" t="s">
        <v>34</v>
      </c>
      <c r="B197" s="40" t="s">
        <v>45</v>
      </c>
      <c r="C197" s="41">
        <f t="shared" ref="C197:V197" si="104">C41</f>
        <v>1</v>
      </c>
      <c r="D197" s="41">
        <f t="shared" si="104"/>
        <v>1</v>
      </c>
      <c r="E197" s="41">
        <f t="shared" si="104"/>
        <v>1</v>
      </c>
      <c r="F197" s="41">
        <f t="shared" si="104"/>
        <v>1</v>
      </c>
      <c r="G197" s="41">
        <f t="shared" si="104"/>
        <v>1</v>
      </c>
      <c r="H197" s="41">
        <f t="shared" si="104"/>
        <v>0</v>
      </c>
      <c r="I197" s="41">
        <f t="shared" si="104"/>
        <v>0</v>
      </c>
      <c r="J197" s="41">
        <f t="shared" si="104"/>
        <v>0</v>
      </c>
      <c r="K197" s="41">
        <f t="shared" si="104"/>
        <v>0</v>
      </c>
      <c r="L197" s="41">
        <f t="shared" si="104"/>
        <v>0</v>
      </c>
      <c r="M197" s="41">
        <f t="shared" si="104"/>
        <v>0</v>
      </c>
      <c r="N197" s="41">
        <f t="shared" si="104"/>
        <v>0</v>
      </c>
      <c r="O197" s="41">
        <f t="shared" si="104"/>
        <v>0</v>
      </c>
      <c r="P197" s="41">
        <f t="shared" si="104"/>
        <v>0</v>
      </c>
      <c r="Q197" s="41">
        <f t="shared" si="104"/>
        <v>0</v>
      </c>
      <c r="R197" s="41">
        <f t="shared" si="104"/>
        <v>0</v>
      </c>
      <c r="S197" s="41">
        <f t="shared" si="104"/>
        <v>0</v>
      </c>
      <c r="T197" s="41">
        <f t="shared" si="104"/>
        <v>0</v>
      </c>
      <c r="U197" s="41">
        <f t="shared" si="104"/>
        <v>0</v>
      </c>
      <c r="V197" s="41">
        <f t="shared" si="104"/>
        <v>0</v>
      </c>
    </row>
    <row r="198" spans="1:22" x14ac:dyDescent="0.25">
      <c r="A198" s="32" t="s">
        <v>63</v>
      </c>
      <c r="B198" s="40" t="s">
        <v>43</v>
      </c>
      <c r="C198" s="41">
        <f t="shared" ref="C198:V198" si="105">C42</f>
        <v>1</v>
      </c>
      <c r="D198" s="41">
        <f t="shared" si="105"/>
        <v>1</v>
      </c>
      <c r="E198" s="41">
        <f t="shared" si="105"/>
        <v>1</v>
      </c>
      <c r="F198" s="41">
        <f t="shared" si="105"/>
        <v>1</v>
      </c>
      <c r="G198" s="41">
        <f t="shared" si="105"/>
        <v>1</v>
      </c>
      <c r="H198" s="41">
        <f t="shared" si="105"/>
        <v>1</v>
      </c>
      <c r="I198" s="41">
        <f t="shared" si="105"/>
        <v>1</v>
      </c>
      <c r="J198" s="41">
        <f t="shared" si="105"/>
        <v>1</v>
      </c>
      <c r="K198" s="41">
        <f t="shared" si="105"/>
        <v>1</v>
      </c>
      <c r="L198" s="41">
        <f t="shared" si="105"/>
        <v>1</v>
      </c>
      <c r="M198" s="41">
        <f t="shared" si="105"/>
        <v>1</v>
      </c>
      <c r="N198" s="41">
        <f t="shared" si="105"/>
        <v>1</v>
      </c>
      <c r="O198" s="41">
        <f t="shared" si="105"/>
        <v>1</v>
      </c>
      <c r="P198" s="41">
        <f t="shared" si="105"/>
        <v>1</v>
      </c>
      <c r="Q198" s="41">
        <f t="shared" si="105"/>
        <v>1</v>
      </c>
      <c r="R198" s="41">
        <f t="shared" si="105"/>
        <v>1</v>
      </c>
      <c r="S198" s="41">
        <f t="shared" si="105"/>
        <v>1</v>
      </c>
      <c r="T198" s="41">
        <f t="shared" si="105"/>
        <v>1</v>
      </c>
      <c r="U198" s="41">
        <f t="shared" si="105"/>
        <v>1</v>
      </c>
      <c r="V198" s="41">
        <f t="shared" si="105"/>
        <v>1</v>
      </c>
    </row>
    <row r="199" spans="1:22" x14ac:dyDescent="0.25">
      <c r="A199" s="32" t="s">
        <v>64</v>
      </c>
      <c r="B199" s="33" t="s">
        <v>46</v>
      </c>
      <c r="C199" s="41">
        <f t="shared" ref="C199:V199" si="106">C43</f>
        <v>1</v>
      </c>
      <c r="D199" s="41">
        <f t="shared" si="106"/>
        <v>1</v>
      </c>
      <c r="E199" s="41">
        <f t="shared" si="106"/>
        <v>0</v>
      </c>
      <c r="F199" s="41">
        <f t="shared" si="106"/>
        <v>0</v>
      </c>
      <c r="G199" s="41">
        <f t="shared" si="106"/>
        <v>0</v>
      </c>
      <c r="H199" s="41">
        <f t="shared" si="106"/>
        <v>0</v>
      </c>
      <c r="I199" s="41">
        <f t="shared" si="106"/>
        <v>0</v>
      </c>
      <c r="J199" s="41">
        <f t="shared" si="106"/>
        <v>0</v>
      </c>
      <c r="K199" s="41">
        <f t="shared" si="106"/>
        <v>0</v>
      </c>
      <c r="L199" s="41">
        <f t="shared" si="106"/>
        <v>0</v>
      </c>
      <c r="M199" s="41">
        <f t="shared" si="106"/>
        <v>0</v>
      </c>
      <c r="N199" s="41">
        <f t="shared" si="106"/>
        <v>0</v>
      </c>
      <c r="O199" s="41">
        <f t="shared" si="106"/>
        <v>0</v>
      </c>
      <c r="P199" s="41">
        <f t="shared" si="106"/>
        <v>0</v>
      </c>
      <c r="Q199" s="41">
        <f t="shared" si="106"/>
        <v>0</v>
      </c>
      <c r="R199" s="41">
        <f t="shared" si="106"/>
        <v>0</v>
      </c>
      <c r="S199" s="41">
        <f t="shared" si="106"/>
        <v>0</v>
      </c>
      <c r="T199" s="41">
        <f t="shared" si="106"/>
        <v>0</v>
      </c>
      <c r="U199" s="41">
        <f t="shared" si="106"/>
        <v>0</v>
      </c>
      <c r="V199" s="41">
        <f t="shared" si="106"/>
        <v>0</v>
      </c>
    </row>
    <row r="200" spans="1:22" x14ac:dyDescent="0.25">
      <c r="A200" s="32" t="s">
        <v>65</v>
      </c>
      <c r="B200" s="33" t="s">
        <v>41</v>
      </c>
      <c r="C200" s="41">
        <f t="shared" ref="C200:V200" si="107">C44</f>
        <v>1</v>
      </c>
      <c r="D200" s="41">
        <f t="shared" si="107"/>
        <v>1</v>
      </c>
      <c r="E200" s="41">
        <f t="shared" si="107"/>
        <v>1</v>
      </c>
      <c r="F200" s="41">
        <f t="shared" si="107"/>
        <v>1</v>
      </c>
      <c r="G200" s="41">
        <f t="shared" si="107"/>
        <v>1</v>
      </c>
      <c r="H200" s="41">
        <f t="shared" si="107"/>
        <v>1</v>
      </c>
      <c r="I200" s="41">
        <f t="shared" si="107"/>
        <v>1</v>
      </c>
      <c r="J200" s="41">
        <f t="shared" si="107"/>
        <v>0</v>
      </c>
      <c r="K200" s="41">
        <f t="shared" si="107"/>
        <v>0</v>
      </c>
      <c r="L200" s="41">
        <f t="shared" si="107"/>
        <v>0</v>
      </c>
      <c r="M200" s="41">
        <f t="shared" si="107"/>
        <v>0</v>
      </c>
      <c r="N200" s="41">
        <f t="shared" si="107"/>
        <v>0</v>
      </c>
      <c r="O200" s="41">
        <f t="shared" si="107"/>
        <v>0</v>
      </c>
      <c r="P200" s="41">
        <f t="shared" si="107"/>
        <v>0</v>
      </c>
      <c r="Q200" s="41">
        <f t="shared" si="107"/>
        <v>0</v>
      </c>
      <c r="R200" s="41">
        <f t="shared" si="107"/>
        <v>0</v>
      </c>
      <c r="S200" s="41">
        <f t="shared" si="107"/>
        <v>0</v>
      </c>
      <c r="T200" s="41">
        <f t="shared" si="107"/>
        <v>0</v>
      </c>
      <c r="U200" s="41">
        <f t="shared" si="107"/>
        <v>0</v>
      </c>
      <c r="V200" s="41">
        <f t="shared" si="107"/>
        <v>0</v>
      </c>
    </row>
    <row r="201" spans="1:22" x14ac:dyDescent="0.25">
      <c r="A201" s="32" t="s">
        <v>35</v>
      </c>
      <c r="B201" s="33" t="s">
        <v>40</v>
      </c>
      <c r="C201" s="41">
        <f t="shared" ref="C201:V201" si="108">C45</f>
        <v>1</v>
      </c>
      <c r="D201" s="41">
        <f t="shared" si="108"/>
        <v>1</v>
      </c>
      <c r="E201" s="41">
        <f t="shared" si="108"/>
        <v>0</v>
      </c>
      <c r="F201" s="41">
        <f t="shared" si="108"/>
        <v>0</v>
      </c>
      <c r="G201" s="41">
        <f t="shared" si="108"/>
        <v>0</v>
      </c>
      <c r="H201" s="41">
        <f t="shared" si="108"/>
        <v>0</v>
      </c>
      <c r="I201" s="41">
        <f t="shared" si="108"/>
        <v>0</v>
      </c>
      <c r="J201" s="41">
        <f t="shared" si="108"/>
        <v>0</v>
      </c>
      <c r="K201" s="41">
        <f t="shared" si="108"/>
        <v>0</v>
      </c>
      <c r="L201" s="41">
        <f t="shared" si="108"/>
        <v>0</v>
      </c>
      <c r="M201" s="41">
        <f t="shared" si="108"/>
        <v>0</v>
      </c>
      <c r="N201" s="41">
        <f t="shared" si="108"/>
        <v>0</v>
      </c>
      <c r="O201" s="41">
        <f t="shared" si="108"/>
        <v>0</v>
      </c>
      <c r="P201" s="41">
        <f t="shared" si="108"/>
        <v>0</v>
      </c>
      <c r="Q201" s="41">
        <f t="shared" si="108"/>
        <v>0</v>
      </c>
      <c r="R201" s="41">
        <f t="shared" si="108"/>
        <v>0</v>
      </c>
      <c r="S201" s="41">
        <f t="shared" si="108"/>
        <v>0</v>
      </c>
      <c r="T201" s="41">
        <f t="shared" si="108"/>
        <v>0</v>
      </c>
      <c r="U201" s="41">
        <f t="shared" si="108"/>
        <v>0</v>
      </c>
      <c r="V201" s="41">
        <f t="shared" si="108"/>
        <v>0</v>
      </c>
    </row>
    <row r="202" spans="1:22" x14ac:dyDescent="0.25">
      <c r="A202" s="32" t="s">
        <v>36</v>
      </c>
      <c r="B202" s="33" t="s">
        <v>40</v>
      </c>
      <c r="C202" s="41">
        <f t="shared" ref="C202:V202" si="109">C46</f>
        <v>1</v>
      </c>
      <c r="D202" s="41">
        <f t="shared" si="109"/>
        <v>1</v>
      </c>
      <c r="E202" s="41">
        <f t="shared" si="109"/>
        <v>0</v>
      </c>
      <c r="F202" s="41">
        <f t="shared" si="109"/>
        <v>0</v>
      </c>
      <c r="G202" s="41">
        <f t="shared" si="109"/>
        <v>0</v>
      </c>
      <c r="H202" s="41">
        <f t="shared" si="109"/>
        <v>0</v>
      </c>
      <c r="I202" s="41">
        <f t="shared" si="109"/>
        <v>0</v>
      </c>
      <c r="J202" s="41">
        <f t="shared" si="109"/>
        <v>0</v>
      </c>
      <c r="K202" s="41">
        <f t="shared" si="109"/>
        <v>0</v>
      </c>
      <c r="L202" s="41">
        <f t="shared" si="109"/>
        <v>0</v>
      </c>
      <c r="M202" s="41">
        <f t="shared" si="109"/>
        <v>0</v>
      </c>
      <c r="N202" s="41">
        <f t="shared" si="109"/>
        <v>0</v>
      </c>
      <c r="O202" s="41">
        <f t="shared" si="109"/>
        <v>0</v>
      </c>
      <c r="P202" s="41">
        <f t="shared" si="109"/>
        <v>0</v>
      </c>
      <c r="Q202" s="41">
        <f t="shared" si="109"/>
        <v>0</v>
      </c>
      <c r="R202" s="41">
        <f t="shared" si="109"/>
        <v>0</v>
      </c>
      <c r="S202" s="41">
        <f t="shared" si="109"/>
        <v>0</v>
      </c>
      <c r="T202" s="41">
        <f t="shared" si="109"/>
        <v>0</v>
      </c>
      <c r="U202" s="41">
        <f t="shared" si="109"/>
        <v>0</v>
      </c>
      <c r="V202" s="41">
        <f t="shared" si="109"/>
        <v>0</v>
      </c>
    </row>
    <row r="203" spans="1:22" x14ac:dyDescent="0.25">
      <c r="A203" s="32" t="s">
        <v>37</v>
      </c>
      <c r="B203" s="33" t="s">
        <v>40</v>
      </c>
      <c r="C203" s="41">
        <f t="shared" ref="C203:V203" si="110">C47</f>
        <v>1</v>
      </c>
      <c r="D203" s="41">
        <f t="shared" si="110"/>
        <v>1</v>
      </c>
      <c r="E203" s="41">
        <f t="shared" si="110"/>
        <v>0</v>
      </c>
      <c r="F203" s="41">
        <f t="shared" si="110"/>
        <v>0</v>
      </c>
      <c r="G203" s="41">
        <f t="shared" si="110"/>
        <v>0</v>
      </c>
      <c r="H203" s="41">
        <f t="shared" si="110"/>
        <v>0</v>
      </c>
      <c r="I203" s="41">
        <f t="shared" si="110"/>
        <v>0</v>
      </c>
      <c r="J203" s="41">
        <f t="shared" si="110"/>
        <v>0</v>
      </c>
      <c r="K203" s="41">
        <f t="shared" si="110"/>
        <v>0</v>
      </c>
      <c r="L203" s="41">
        <f t="shared" si="110"/>
        <v>0</v>
      </c>
      <c r="M203" s="41">
        <f t="shared" si="110"/>
        <v>0</v>
      </c>
      <c r="N203" s="41">
        <f t="shared" si="110"/>
        <v>0</v>
      </c>
      <c r="O203" s="41">
        <f t="shared" si="110"/>
        <v>0</v>
      </c>
      <c r="P203" s="41">
        <f t="shared" si="110"/>
        <v>0</v>
      </c>
      <c r="Q203" s="41">
        <f t="shared" si="110"/>
        <v>0</v>
      </c>
      <c r="R203" s="41">
        <f t="shared" si="110"/>
        <v>0</v>
      </c>
      <c r="S203" s="41">
        <f t="shared" si="110"/>
        <v>0</v>
      </c>
      <c r="T203" s="41">
        <f t="shared" si="110"/>
        <v>0</v>
      </c>
      <c r="U203" s="41">
        <f t="shared" si="110"/>
        <v>0</v>
      </c>
      <c r="V203" s="41">
        <f t="shared" si="110"/>
        <v>0</v>
      </c>
    </row>
    <row r="204" spans="1:22" x14ac:dyDescent="0.25">
      <c r="A204" s="32" t="s">
        <v>38</v>
      </c>
      <c r="B204" s="33" t="s">
        <v>41</v>
      </c>
      <c r="C204" s="41">
        <f t="shared" ref="C204:V204" si="111">C48</f>
        <v>1</v>
      </c>
      <c r="D204" s="41">
        <f t="shared" si="111"/>
        <v>0</v>
      </c>
      <c r="E204" s="41">
        <f t="shared" si="111"/>
        <v>0</v>
      </c>
      <c r="F204" s="41">
        <f t="shared" si="111"/>
        <v>0</v>
      </c>
      <c r="G204" s="41">
        <f t="shared" si="111"/>
        <v>0</v>
      </c>
      <c r="H204" s="41">
        <f t="shared" si="111"/>
        <v>0</v>
      </c>
      <c r="I204" s="41">
        <f t="shared" si="111"/>
        <v>0</v>
      </c>
      <c r="J204" s="41">
        <f t="shared" si="111"/>
        <v>0</v>
      </c>
      <c r="K204" s="41">
        <f t="shared" si="111"/>
        <v>0</v>
      </c>
      <c r="L204" s="41">
        <f t="shared" si="111"/>
        <v>0</v>
      </c>
      <c r="M204" s="41">
        <f t="shared" si="111"/>
        <v>0</v>
      </c>
      <c r="N204" s="41">
        <f t="shared" si="111"/>
        <v>0</v>
      </c>
      <c r="O204" s="41">
        <f t="shared" si="111"/>
        <v>0</v>
      </c>
      <c r="P204" s="41">
        <f t="shared" si="111"/>
        <v>0</v>
      </c>
      <c r="Q204" s="41">
        <f t="shared" si="111"/>
        <v>0</v>
      </c>
      <c r="R204" s="41">
        <f t="shared" si="111"/>
        <v>0</v>
      </c>
      <c r="S204" s="41">
        <f t="shared" si="111"/>
        <v>0</v>
      </c>
      <c r="T204" s="41">
        <f t="shared" si="111"/>
        <v>0</v>
      </c>
      <c r="U204" s="41">
        <f t="shared" si="111"/>
        <v>0</v>
      </c>
      <c r="V204" s="41">
        <f t="shared" si="111"/>
        <v>0</v>
      </c>
    </row>
    <row r="205" spans="1:22" x14ac:dyDescent="0.25">
      <c r="A205" s="91" t="str">
        <f t="shared" ref="A205:B212" si="112">A49</f>
        <v>New</v>
      </c>
      <c r="B205" s="91" t="str">
        <f t="shared" si="112"/>
        <v>Human Space Flight</v>
      </c>
      <c r="C205" s="98">
        <f>New_missions!C14+New_missions!C50</f>
        <v>-0.5</v>
      </c>
      <c r="D205" s="98">
        <f>New_missions!D14+New_missions!D50</f>
        <v>-1</v>
      </c>
      <c r="E205" s="98">
        <f>New_missions!E14+New_missions!E50</f>
        <v>-1.5</v>
      </c>
      <c r="F205" s="98">
        <f>New_missions!F14+New_missions!F50</f>
        <v>-2</v>
      </c>
      <c r="G205" s="98">
        <f>New_missions!G14+New_missions!G50</f>
        <v>-2.5</v>
      </c>
      <c r="H205" s="98">
        <f>New_missions!H14+New_missions!H50</f>
        <v>-3</v>
      </c>
      <c r="I205" s="98">
        <f>New_missions!I14+New_missions!I50</f>
        <v>-3.5</v>
      </c>
      <c r="J205" s="98">
        <f>New_missions!J14+New_missions!J50</f>
        <v>-4</v>
      </c>
      <c r="K205" s="98">
        <f>New_missions!K14+New_missions!K50</f>
        <v>-4.5</v>
      </c>
      <c r="L205" s="98">
        <f>New_missions!L14+New_missions!L50</f>
        <v>-5</v>
      </c>
      <c r="M205" s="98">
        <f>New_missions!M14+New_missions!M50</f>
        <v>-3</v>
      </c>
      <c r="N205" s="98">
        <f>New_missions!N14+New_missions!N50</f>
        <v>-3</v>
      </c>
      <c r="O205" s="98">
        <f>New_missions!O14+New_missions!O50</f>
        <v>-3</v>
      </c>
      <c r="P205" s="98">
        <f>New_missions!P14+New_missions!P50</f>
        <v>-3</v>
      </c>
      <c r="Q205" s="98">
        <f>New_missions!Q14+New_missions!Q50</f>
        <v>-3</v>
      </c>
      <c r="R205" s="98">
        <f>New_missions!R14+New_missions!R50</f>
        <v>-3</v>
      </c>
      <c r="S205" s="98">
        <f>New_missions!S14+New_missions!S50</f>
        <v>-3</v>
      </c>
      <c r="T205" s="98">
        <f>New_missions!T14+New_missions!T50</f>
        <v>-3</v>
      </c>
      <c r="U205" s="98">
        <f>New_missions!U14+New_missions!U50</f>
        <v>-3</v>
      </c>
      <c r="V205" s="98">
        <f>New_missions!V14+New_missions!V50</f>
        <v>-3</v>
      </c>
    </row>
    <row r="206" spans="1:22" x14ac:dyDescent="0.25">
      <c r="A206" s="91" t="str">
        <f t="shared" si="112"/>
        <v>New</v>
      </c>
      <c r="B206" s="91" t="str">
        <f t="shared" si="112"/>
        <v>Near Earth Robotic - LEO Science</v>
      </c>
      <c r="C206" s="98">
        <f>New_missions!C15+New_missions!C51</f>
        <v>0</v>
      </c>
      <c r="D206" s="98">
        <f>New_missions!D15+New_missions!D51</f>
        <v>2</v>
      </c>
      <c r="E206" s="98">
        <f>New_missions!E15+New_missions!E51</f>
        <v>3</v>
      </c>
      <c r="F206" s="98">
        <f>New_missions!F15+New_missions!F51</f>
        <v>5</v>
      </c>
      <c r="G206" s="98">
        <f>New_missions!G15+New_missions!G51</f>
        <v>8</v>
      </c>
      <c r="H206" s="98">
        <f>New_missions!H15+New_missions!H51</f>
        <v>11</v>
      </c>
      <c r="I206" s="98">
        <f>New_missions!I15+New_missions!I51</f>
        <v>14</v>
      </c>
      <c r="J206" s="98">
        <f>New_missions!J15+New_missions!J51</f>
        <v>16</v>
      </c>
      <c r="K206" s="98">
        <f>New_missions!K15+New_missions!K51</f>
        <v>16</v>
      </c>
      <c r="L206" s="98">
        <f>New_missions!L15+New_missions!L51</f>
        <v>16</v>
      </c>
      <c r="M206" s="98">
        <f>New_missions!M15+New_missions!M51</f>
        <v>16</v>
      </c>
      <c r="N206" s="98">
        <f>New_missions!N15+New_missions!N51</f>
        <v>16</v>
      </c>
      <c r="O206" s="98">
        <f>New_missions!O15+New_missions!O51</f>
        <v>16</v>
      </c>
      <c r="P206" s="98">
        <f>New_missions!P15+New_missions!P51</f>
        <v>16</v>
      </c>
      <c r="Q206" s="98">
        <f>New_missions!Q15+New_missions!Q51</f>
        <v>16</v>
      </c>
      <c r="R206" s="98">
        <f>New_missions!R15+New_missions!R51</f>
        <v>16</v>
      </c>
      <c r="S206" s="98">
        <f>New_missions!S15+New_missions!S51</f>
        <v>16</v>
      </c>
      <c r="T206" s="98">
        <f>New_missions!T15+New_missions!T51</f>
        <v>16</v>
      </c>
      <c r="U206" s="98">
        <f>New_missions!U15+New_missions!U51</f>
        <v>16</v>
      </c>
      <c r="V206" s="98">
        <f>New_missions!V15+New_missions!V51</f>
        <v>16</v>
      </c>
    </row>
    <row r="207" spans="1:22" x14ac:dyDescent="0.25">
      <c r="A207" s="91" t="str">
        <f t="shared" si="112"/>
        <v>New</v>
      </c>
      <c r="B207" s="91" t="str">
        <f t="shared" si="112"/>
        <v>Near Earth Robotic - GEO and Near Earth</v>
      </c>
      <c r="C207" s="98">
        <f>New_missions!C16+New_missions!C52</f>
        <v>0</v>
      </c>
      <c r="D207" s="98">
        <f>New_missions!D16+New_missions!D52</f>
        <v>0</v>
      </c>
      <c r="E207" s="98">
        <f>New_missions!E16+New_missions!E52</f>
        <v>4</v>
      </c>
      <c r="F207" s="98">
        <f>New_missions!F16+New_missions!F52</f>
        <v>4</v>
      </c>
      <c r="G207" s="98">
        <f>New_missions!G16+New_missions!G52</f>
        <v>4</v>
      </c>
      <c r="H207" s="98">
        <f>New_missions!H16+New_missions!H52</f>
        <v>4</v>
      </c>
      <c r="I207" s="98">
        <f>New_missions!I16+New_missions!I52</f>
        <v>4</v>
      </c>
      <c r="J207" s="98">
        <f>New_missions!J16+New_missions!J52</f>
        <v>4</v>
      </c>
      <c r="K207" s="98">
        <f>New_missions!K16+New_missions!K52</f>
        <v>4</v>
      </c>
      <c r="L207" s="98">
        <f>New_missions!L16+New_missions!L52</f>
        <v>4</v>
      </c>
      <c r="M207" s="98">
        <f>New_missions!M16+New_missions!M52</f>
        <v>4</v>
      </c>
      <c r="N207" s="98">
        <f>New_missions!N16+New_missions!N52</f>
        <v>4</v>
      </c>
      <c r="O207" s="98">
        <f>New_missions!O16+New_missions!O52</f>
        <v>4</v>
      </c>
      <c r="P207" s="98">
        <f>New_missions!P16+New_missions!P52</f>
        <v>4</v>
      </c>
      <c r="Q207" s="98">
        <f>New_missions!Q16+New_missions!Q52</f>
        <v>4</v>
      </c>
      <c r="R207" s="98">
        <f>New_missions!R16+New_missions!R52</f>
        <v>4</v>
      </c>
      <c r="S207" s="98">
        <f>New_missions!S16+New_missions!S52</f>
        <v>4</v>
      </c>
      <c r="T207" s="98">
        <f>New_missions!T16+New_missions!T52</f>
        <v>4</v>
      </c>
      <c r="U207" s="98">
        <f>New_missions!U16+New_missions!U52</f>
        <v>4</v>
      </c>
      <c r="V207" s="98">
        <f>New_missions!V16+New_missions!V52</f>
        <v>4</v>
      </c>
    </row>
    <row r="208" spans="1:22" x14ac:dyDescent="0.25">
      <c r="A208" s="91" t="str">
        <f t="shared" si="112"/>
        <v>New</v>
      </c>
      <c r="B208" s="91" t="str">
        <f t="shared" si="112"/>
        <v>Deep Space Robotic</v>
      </c>
      <c r="C208" s="98">
        <f>New_missions!C17+New_missions!C53</f>
        <v>0</v>
      </c>
      <c r="D208" s="98">
        <f>New_missions!D17+New_missions!D53</f>
        <v>0</v>
      </c>
      <c r="E208" s="98">
        <f>New_missions!E17+New_missions!E53</f>
        <v>0</v>
      </c>
      <c r="F208" s="98">
        <f>New_missions!F17+New_missions!F53</f>
        <v>0</v>
      </c>
      <c r="G208" s="98">
        <f>New_missions!G17+New_missions!G53</f>
        <v>0</v>
      </c>
      <c r="H208" s="98">
        <f>New_missions!H17+New_missions!H53</f>
        <v>0</v>
      </c>
      <c r="I208" s="98">
        <f>New_missions!I17+New_missions!I53</f>
        <v>0</v>
      </c>
      <c r="J208" s="98">
        <f>New_missions!J17+New_missions!J53</f>
        <v>0</v>
      </c>
      <c r="K208" s="98">
        <f>New_missions!K17+New_missions!K53</f>
        <v>0</v>
      </c>
      <c r="L208" s="98">
        <f>New_missions!L17+New_missions!L53</f>
        <v>0</v>
      </c>
      <c r="M208" s="98">
        <f>New_missions!M17+New_missions!M53</f>
        <v>0</v>
      </c>
      <c r="N208" s="98">
        <f>New_missions!N17+New_missions!N53</f>
        <v>0</v>
      </c>
      <c r="O208" s="98">
        <f>New_missions!O17+New_missions!O53</f>
        <v>0</v>
      </c>
      <c r="P208" s="98">
        <f>New_missions!P17+New_missions!P53</f>
        <v>0</v>
      </c>
      <c r="Q208" s="98">
        <f>New_missions!Q17+New_missions!Q53</f>
        <v>0</v>
      </c>
      <c r="R208" s="98">
        <f>New_missions!R17+New_missions!R53</f>
        <v>0</v>
      </c>
      <c r="S208" s="98">
        <f>New_missions!S17+New_missions!S53</f>
        <v>0</v>
      </c>
      <c r="T208" s="98">
        <f>New_missions!T17+New_missions!T53</f>
        <v>0</v>
      </c>
      <c r="U208" s="98">
        <f>New_missions!U17+New_missions!U53</f>
        <v>0</v>
      </c>
      <c r="V208" s="98">
        <f>New_missions!V17+New_missions!V53</f>
        <v>0</v>
      </c>
    </row>
    <row r="209" spans="1:22" x14ac:dyDescent="0.25">
      <c r="A209" s="91" t="str">
        <f t="shared" si="112"/>
        <v>New</v>
      </c>
      <c r="B209" s="91" t="str">
        <f t="shared" si="112"/>
        <v>Near Earth Robotic - Low Latency &amp; Complex Needs</v>
      </c>
      <c r="C209" s="98">
        <f>New_missions!C18+New_missions!C54</f>
        <v>-0.1</v>
      </c>
      <c r="D209" s="98">
        <f>New_missions!D18+New_missions!D54</f>
        <v>-0.2</v>
      </c>
      <c r="E209" s="98">
        <f>New_missions!E18+New_missions!E54</f>
        <v>-0.30000000000000004</v>
      </c>
      <c r="F209" s="98">
        <f>New_missions!F18+New_missions!F54</f>
        <v>-0.4</v>
      </c>
      <c r="G209" s="98">
        <f>New_missions!G18+New_missions!G54</f>
        <v>0.5</v>
      </c>
      <c r="H209" s="98">
        <f>New_missions!H18+New_missions!H54</f>
        <v>0.4</v>
      </c>
      <c r="I209" s="98">
        <f>New_missions!I18+New_missions!I54</f>
        <v>0.30000000000000004</v>
      </c>
      <c r="J209" s="98">
        <f>New_missions!J18+New_missions!J54</f>
        <v>0.20000000000000007</v>
      </c>
      <c r="K209" s="98">
        <f>New_missions!K18+New_missions!K54</f>
        <v>0.10000000000000009</v>
      </c>
      <c r="L209" s="98">
        <f>New_missions!L18+New_missions!L54</f>
        <v>0</v>
      </c>
      <c r="M209" s="98">
        <f>New_missions!M18+New_missions!M54</f>
        <v>0</v>
      </c>
      <c r="N209" s="98">
        <f>New_missions!N18+New_missions!N54</f>
        <v>0</v>
      </c>
      <c r="O209" s="98">
        <f>New_missions!O18+New_missions!O54</f>
        <v>0</v>
      </c>
      <c r="P209" s="98">
        <f>New_missions!P18+New_missions!P54</f>
        <v>0</v>
      </c>
      <c r="Q209" s="98">
        <f>New_missions!Q18+New_missions!Q54</f>
        <v>0</v>
      </c>
      <c r="R209" s="98">
        <f>New_missions!R18+New_missions!R54</f>
        <v>0</v>
      </c>
      <c r="S209" s="98">
        <f>New_missions!S18+New_missions!S54</f>
        <v>0</v>
      </c>
      <c r="T209" s="98">
        <f>New_missions!T18+New_missions!T54</f>
        <v>0</v>
      </c>
      <c r="U209" s="98">
        <f>New_missions!U18+New_missions!U54</f>
        <v>0</v>
      </c>
      <c r="V209" s="98">
        <f>New_missions!V18+New_missions!V54</f>
        <v>0</v>
      </c>
    </row>
    <row r="210" spans="1:22" x14ac:dyDescent="0.25">
      <c r="A210" s="91" t="str">
        <f t="shared" si="112"/>
        <v>New</v>
      </c>
      <c r="B210" s="91" t="str">
        <f t="shared" si="112"/>
        <v>Mission Operations</v>
      </c>
      <c r="C210" s="98">
        <f>New_missions!C19+New_missions!C55</f>
        <v>0</v>
      </c>
      <c r="D210" s="98">
        <f>New_missions!D19+New_missions!D55</f>
        <v>0</v>
      </c>
      <c r="E210" s="98">
        <f>New_missions!E19+New_missions!E55</f>
        <v>0</v>
      </c>
      <c r="F210" s="98">
        <f>New_missions!F19+New_missions!F55</f>
        <v>0</v>
      </c>
      <c r="G210" s="98">
        <f>New_missions!G19+New_missions!G55</f>
        <v>0</v>
      </c>
      <c r="H210" s="98">
        <f>New_missions!H19+New_missions!H55</f>
        <v>0</v>
      </c>
      <c r="I210" s="98">
        <f>New_missions!I19+New_missions!I55</f>
        <v>0</v>
      </c>
      <c r="J210" s="98">
        <f>New_missions!J19+New_missions!J55</f>
        <v>0</v>
      </c>
      <c r="K210" s="98">
        <f>New_missions!K19+New_missions!K55</f>
        <v>0</v>
      </c>
      <c r="L210" s="98">
        <f>New_missions!L19+New_missions!L55</f>
        <v>0</v>
      </c>
      <c r="M210" s="98">
        <f>New_missions!M19+New_missions!M55</f>
        <v>0</v>
      </c>
      <c r="N210" s="98">
        <f>New_missions!N19+New_missions!N55</f>
        <v>0</v>
      </c>
      <c r="O210" s="98">
        <f>New_missions!O19+New_missions!O55</f>
        <v>0</v>
      </c>
      <c r="P210" s="98">
        <f>New_missions!P19+New_missions!P55</f>
        <v>0</v>
      </c>
      <c r="Q210" s="98">
        <f>New_missions!Q19+New_missions!Q55</f>
        <v>0</v>
      </c>
      <c r="R210" s="98">
        <f>New_missions!R19+New_missions!R55</f>
        <v>0</v>
      </c>
      <c r="S210" s="98">
        <f>New_missions!S19+New_missions!S55</f>
        <v>0</v>
      </c>
      <c r="T210" s="98">
        <f>New_missions!T19+New_missions!T55</f>
        <v>0</v>
      </c>
      <c r="U210" s="98">
        <f>New_missions!U19+New_missions!U55</f>
        <v>0</v>
      </c>
      <c r="V210" s="98">
        <f>New_missions!V19+New_missions!V55</f>
        <v>0</v>
      </c>
    </row>
    <row r="211" spans="1:22" x14ac:dyDescent="0.25">
      <c r="A211" s="91" t="str">
        <f t="shared" si="112"/>
        <v>New</v>
      </c>
      <c r="B211" s="91" t="str">
        <f t="shared" si="112"/>
        <v>Launch Events</v>
      </c>
      <c r="C211" s="98" t="e">
        <f>New_missions!C20+New_missions!C56</f>
        <v>#REF!</v>
      </c>
      <c r="D211" s="98" t="e">
        <f>New_missions!D20+New_missions!D56</f>
        <v>#REF!</v>
      </c>
      <c r="E211" s="98" t="e">
        <f>New_missions!E20+New_missions!E56</f>
        <v>#REF!</v>
      </c>
      <c r="F211" s="98" t="e">
        <f>New_missions!F20+New_missions!F56</f>
        <v>#REF!</v>
      </c>
      <c r="G211" s="98" t="e">
        <f>New_missions!G20+New_missions!G56</f>
        <v>#REF!</v>
      </c>
      <c r="H211" s="98" t="e">
        <f>New_missions!H20+New_missions!H56</f>
        <v>#REF!</v>
      </c>
      <c r="I211" s="98" t="e">
        <f>New_missions!I20+New_missions!I56</f>
        <v>#REF!</v>
      </c>
      <c r="J211" s="98" t="e">
        <f>New_missions!J20+New_missions!J56</f>
        <v>#REF!</v>
      </c>
      <c r="K211" s="98" t="e">
        <f>New_missions!K20+New_missions!K56</f>
        <v>#REF!</v>
      </c>
      <c r="L211" s="98" t="e">
        <f>New_missions!L20+New_missions!L56</f>
        <v>#REF!</v>
      </c>
      <c r="M211" s="98" t="e">
        <f>New_missions!M20+New_missions!M56</f>
        <v>#REF!</v>
      </c>
      <c r="N211" s="98" t="e">
        <f>New_missions!N20+New_missions!N56</f>
        <v>#REF!</v>
      </c>
      <c r="O211" s="98" t="e">
        <f>New_missions!O20+New_missions!O56</f>
        <v>#REF!</v>
      </c>
      <c r="P211" s="98" t="e">
        <f>New_missions!P20+New_missions!P56</f>
        <v>#REF!</v>
      </c>
      <c r="Q211" s="98" t="e">
        <f>New_missions!Q20+New_missions!Q56</f>
        <v>#REF!</v>
      </c>
      <c r="R211" s="98" t="e">
        <f>New_missions!R20+New_missions!R56</f>
        <v>#REF!</v>
      </c>
      <c r="S211" s="98" t="e">
        <f>New_missions!S20+New_missions!S56</f>
        <v>#REF!</v>
      </c>
      <c r="T211" s="98" t="e">
        <f>New_missions!T20+New_missions!T56</f>
        <v>#REF!</v>
      </c>
      <c r="U211" s="98" t="e">
        <f>New_missions!U20+New_missions!U56</f>
        <v>#REF!</v>
      </c>
      <c r="V211" s="98" t="e">
        <f>New_missions!V20+New_missions!V56</f>
        <v>#REF!</v>
      </c>
    </row>
    <row r="212" spans="1:22" x14ac:dyDescent="0.25">
      <c r="A212" s="91" t="str">
        <f t="shared" si="112"/>
        <v>New</v>
      </c>
      <c r="B212" s="91" t="str">
        <f t="shared" si="112"/>
        <v>Terrestrial &amp; Aerial</v>
      </c>
      <c r="C212" s="98">
        <f>New_missions!C21+New_missions!C57</f>
        <v>-0.3</v>
      </c>
      <c r="D212" s="98">
        <f>New_missions!D21+New_missions!D57</f>
        <v>0.4</v>
      </c>
      <c r="E212" s="98">
        <f>New_missions!E21+New_missions!E57</f>
        <v>0.10000000000000009</v>
      </c>
      <c r="F212" s="98">
        <f>New_missions!F21+New_missions!F57</f>
        <v>-0.19999999999999996</v>
      </c>
      <c r="G212" s="98">
        <f>New_missions!G21+New_missions!G57</f>
        <v>-0.5</v>
      </c>
      <c r="H212" s="98">
        <f>New_missions!H21+New_missions!H57</f>
        <v>0.19999999999999996</v>
      </c>
      <c r="I212" s="98">
        <f>New_missions!I21+New_missions!I57</f>
        <v>-0.10000000000000009</v>
      </c>
      <c r="J212" s="98">
        <f>New_missions!J21+New_missions!J57</f>
        <v>-0.39999999999999991</v>
      </c>
      <c r="K212" s="98">
        <f>New_missions!K21+New_missions!K57</f>
        <v>-0.69999999999999973</v>
      </c>
      <c r="L212" s="98">
        <f>New_missions!L21+New_missions!L57</f>
        <v>-0.99999999999999956</v>
      </c>
      <c r="M212" s="98">
        <f>New_missions!M21+New_missions!M57</f>
        <v>-0.99999999999999956</v>
      </c>
      <c r="N212" s="98">
        <f>New_missions!N21+New_missions!N57</f>
        <v>-0.99999999999999956</v>
      </c>
      <c r="O212" s="98">
        <f>New_missions!O21+New_missions!O57</f>
        <v>-0.99999999999999956</v>
      </c>
      <c r="P212" s="98">
        <f>New_missions!P21+New_missions!P57</f>
        <v>-0.99999999999999956</v>
      </c>
      <c r="Q212" s="98">
        <f>New_missions!Q21+New_missions!Q57</f>
        <v>-0.99999999999999956</v>
      </c>
      <c r="R212" s="98">
        <f>New_missions!R21+New_missions!R57</f>
        <v>-0.99999999999999956</v>
      </c>
      <c r="S212" s="98">
        <f>New_missions!S21+New_missions!S57</f>
        <v>-0.99999999999999956</v>
      </c>
      <c r="T212" s="98">
        <f>New_missions!T21+New_missions!T57</f>
        <v>-0.99999999999999956</v>
      </c>
      <c r="U212" s="98">
        <f>New_missions!U21+New_missions!U57</f>
        <v>-0.99999999999999956</v>
      </c>
      <c r="V212" s="98">
        <f>New_missions!V21+New_missions!V57</f>
        <v>-0.99999999999999956</v>
      </c>
    </row>
    <row r="213" spans="1:22" x14ac:dyDescent="0.25">
      <c r="A213" s="85"/>
      <c r="B213" s="92"/>
    </row>
    <row r="214" spans="1:22" x14ac:dyDescent="0.25">
      <c r="A214" s="85"/>
      <c r="B214" s="92"/>
      <c r="C214" s="94" t="e">
        <f>SUM(C158:C212)</f>
        <v>#REF!</v>
      </c>
      <c r="D214" s="94" t="e">
        <f>SUM(D158:D212)</f>
        <v>#REF!</v>
      </c>
      <c r="E214" s="94" t="e">
        <f t="shared" ref="E214:V214" si="113">SUM(E158:E212)</f>
        <v>#REF!</v>
      </c>
      <c r="F214" s="94" t="e">
        <f t="shared" si="113"/>
        <v>#REF!</v>
      </c>
      <c r="G214" s="94" t="e">
        <f t="shared" si="113"/>
        <v>#REF!</v>
      </c>
      <c r="H214" s="94" t="e">
        <f t="shared" si="113"/>
        <v>#REF!</v>
      </c>
      <c r="I214" s="94" t="e">
        <f t="shared" si="113"/>
        <v>#REF!</v>
      </c>
      <c r="J214" s="94" t="e">
        <f t="shared" si="113"/>
        <v>#REF!</v>
      </c>
      <c r="K214" s="94" t="e">
        <f t="shared" si="113"/>
        <v>#REF!</v>
      </c>
      <c r="L214" s="95" t="e">
        <f t="shared" si="113"/>
        <v>#REF!</v>
      </c>
      <c r="M214" s="94" t="e">
        <f t="shared" si="113"/>
        <v>#REF!</v>
      </c>
      <c r="N214" s="94" t="e">
        <f t="shared" si="113"/>
        <v>#REF!</v>
      </c>
      <c r="O214" s="94" t="e">
        <f t="shared" si="113"/>
        <v>#REF!</v>
      </c>
      <c r="P214" s="94" t="e">
        <f t="shared" si="113"/>
        <v>#REF!</v>
      </c>
      <c r="Q214" s="94" t="e">
        <f t="shared" si="113"/>
        <v>#REF!</v>
      </c>
      <c r="R214" s="94" t="e">
        <f t="shared" si="113"/>
        <v>#REF!</v>
      </c>
      <c r="S214" s="94" t="e">
        <f t="shared" si="113"/>
        <v>#REF!</v>
      </c>
      <c r="T214" s="94" t="e">
        <f t="shared" si="113"/>
        <v>#REF!</v>
      </c>
      <c r="U214" s="94" t="e">
        <f t="shared" si="113"/>
        <v>#REF!</v>
      </c>
      <c r="V214" s="94" t="e">
        <f t="shared" si="113"/>
        <v>#REF!</v>
      </c>
    </row>
    <row r="215" spans="1:22" ht="14.4" thickBot="1" x14ac:dyDescent="0.3"/>
    <row r="216" spans="1:22" x14ac:dyDescent="0.25">
      <c r="B216" s="57" t="s">
        <v>82</v>
      </c>
      <c r="C216" s="58">
        <f>C157</f>
        <v>2021</v>
      </c>
      <c r="D216" s="58">
        <f t="shared" ref="D216:U216" si="114">D157</f>
        <v>2022</v>
      </c>
      <c r="E216" s="58">
        <f t="shared" si="114"/>
        <v>2023</v>
      </c>
      <c r="F216" s="58">
        <f t="shared" si="114"/>
        <v>2024</v>
      </c>
      <c r="G216" s="58">
        <f t="shared" si="114"/>
        <v>2025</v>
      </c>
      <c r="H216" s="58">
        <f t="shared" si="114"/>
        <v>2026</v>
      </c>
      <c r="I216" s="58">
        <f t="shared" si="114"/>
        <v>2027</v>
      </c>
      <c r="J216" s="58">
        <f t="shared" si="114"/>
        <v>2028</v>
      </c>
      <c r="K216" s="58">
        <f t="shared" si="114"/>
        <v>2029</v>
      </c>
      <c r="L216" s="75">
        <f t="shared" si="114"/>
        <v>2030</v>
      </c>
      <c r="M216" s="76">
        <f t="shared" si="114"/>
        <v>2031</v>
      </c>
      <c r="N216" s="58">
        <f t="shared" si="114"/>
        <v>2032</v>
      </c>
      <c r="O216" s="58">
        <f t="shared" si="114"/>
        <v>2033</v>
      </c>
      <c r="P216" s="58">
        <f t="shared" si="114"/>
        <v>2034</v>
      </c>
      <c r="Q216" s="58">
        <f t="shared" si="114"/>
        <v>2035</v>
      </c>
      <c r="R216" s="58">
        <f t="shared" si="114"/>
        <v>2036</v>
      </c>
      <c r="S216" s="58">
        <f t="shared" si="114"/>
        <v>2037</v>
      </c>
      <c r="T216" s="58">
        <f t="shared" si="114"/>
        <v>2038</v>
      </c>
      <c r="U216" s="58">
        <f t="shared" si="114"/>
        <v>2039</v>
      </c>
      <c r="V216" s="58">
        <f>V157</f>
        <v>2040</v>
      </c>
    </row>
    <row r="217" spans="1:22" x14ac:dyDescent="0.25">
      <c r="B217" s="36" t="s">
        <v>43</v>
      </c>
      <c r="C217" s="37">
        <f t="shared" ref="C217:L224" si="115">SUMIF($B$158:$B$212,$B217,C$158:C$212)</f>
        <v>5.5</v>
      </c>
      <c r="D217" s="37">
        <f t="shared" si="115"/>
        <v>5</v>
      </c>
      <c r="E217" s="37">
        <f t="shared" si="115"/>
        <v>4.5</v>
      </c>
      <c r="F217" s="37">
        <f t="shared" si="115"/>
        <v>4</v>
      </c>
      <c r="G217" s="37">
        <f t="shared" si="115"/>
        <v>3.5</v>
      </c>
      <c r="H217" s="37">
        <f t="shared" si="115"/>
        <v>3</v>
      </c>
      <c r="I217" s="37">
        <f t="shared" si="115"/>
        <v>2.5</v>
      </c>
      <c r="J217" s="37">
        <f t="shared" si="115"/>
        <v>2</v>
      </c>
      <c r="K217" s="37">
        <f t="shared" si="115"/>
        <v>1.5</v>
      </c>
      <c r="L217" s="37">
        <f t="shared" si="115"/>
        <v>1</v>
      </c>
      <c r="M217" s="37">
        <f t="shared" ref="M217:V224" si="116">SUMIF($B$158:$B$212,$B217,M$158:M$212)</f>
        <v>1</v>
      </c>
      <c r="N217" s="37">
        <f t="shared" si="116"/>
        <v>1</v>
      </c>
      <c r="O217" s="37">
        <f t="shared" si="116"/>
        <v>1</v>
      </c>
      <c r="P217" s="37">
        <f t="shared" si="116"/>
        <v>1</v>
      </c>
      <c r="Q217" s="37">
        <f t="shared" si="116"/>
        <v>1</v>
      </c>
      <c r="R217" s="37">
        <f t="shared" si="116"/>
        <v>1</v>
      </c>
      <c r="S217" s="37">
        <f t="shared" si="116"/>
        <v>1</v>
      </c>
      <c r="T217" s="37">
        <f t="shared" si="116"/>
        <v>1</v>
      </c>
      <c r="U217" s="37">
        <f t="shared" si="116"/>
        <v>1</v>
      </c>
      <c r="V217" s="37">
        <f t="shared" si="116"/>
        <v>1</v>
      </c>
    </row>
    <row r="218" spans="1:22" x14ac:dyDescent="0.25">
      <c r="B218" s="36" t="s">
        <v>41</v>
      </c>
      <c r="C218" s="37">
        <f t="shared" si="115"/>
        <v>17</v>
      </c>
      <c r="D218" s="37">
        <f t="shared" si="115"/>
        <v>17</v>
      </c>
      <c r="E218" s="37">
        <f t="shared" si="115"/>
        <v>17</v>
      </c>
      <c r="F218" s="37">
        <f t="shared" si="115"/>
        <v>17</v>
      </c>
      <c r="G218" s="37">
        <f t="shared" si="115"/>
        <v>17</v>
      </c>
      <c r="H218" s="37">
        <f t="shared" si="115"/>
        <v>17</v>
      </c>
      <c r="I218" s="37">
        <f t="shared" si="115"/>
        <v>17</v>
      </c>
      <c r="J218" s="37">
        <f t="shared" si="115"/>
        <v>17</v>
      </c>
      <c r="K218" s="37">
        <f t="shared" si="115"/>
        <v>17</v>
      </c>
      <c r="L218" s="37">
        <f t="shared" si="115"/>
        <v>17</v>
      </c>
      <c r="M218" s="37">
        <f t="shared" si="116"/>
        <v>17</v>
      </c>
      <c r="N218" s="37">
        <f t="shared" si="116"/>
        <v>17</v>
      </c>
      <c r="O218" s="37">
        <f t="shared" si="116"/>
        <v>17</v>
      </c>
      <c r="P218" s="37">
        <f t="shared" si="116"/>
        <v>17</v>
      </c>
      <c r="Q218" s="37">
        <f t="shared" si="116"/>
        <v>17</v>
      </c>
      <c r="R218" s="37">
        <f t="shared" si="116"/>
        <v>17</v>
      </c>
      <c r="S218" s="37">
        <f t="shared" si="116"/>
        <v>17</v>
      </c>
      <c r="T218" s="37">
        <f t="shared" si="116"/>
        <v>17</v>
      </c>
      <c r="U218" s="37">
        <f t="shared" si="116"/>
        <v>17</v>
      </c>
      <c r="V218" s="37">
        <f t="shared" si="116"/>
        <v>17</v>
      </c>
    </row>
    <row r="219" spans="1:22" x14ac:dyDescent="0.25">
      <c r="B219" s="36" t="s">
        <v>40</v>
      </c>
      <c r="C219" s="37">
        <f t="shared" si="115"/>
        <v>8</v>
      </c>
      <c r="D219" s="37">
        <f t="shared" si="115"/>
        <v>8</v>
      </c>
      <c r="E219" s="37">
        <f t="shared" si="115"/>
        <v>8</v>
      </c>
      <c r="F219" s="37">
        <f t="shared" si="115"/>
        <v>8</v>
      </c>
      <c r="G219" s="37">
        <f t="shared" si="115"/>
        <v>8</v>
      </c>
      <c r="H219" s="37">
        <f t="shared" si="115"/>
        <v>8</v>
      </c>
      <c r="I219" s="37">
        <f t="shared" si="115"/>
        <v>8</v>
      </c>
      <c r="J219" s="37">
        <f t="shared" si="115"/>
        <v>8</v>
      </c>
      <c r="K219" s="37">
        <f t="shared" si="115"/>
        <v>8</v>
      </c>
      <c r="L219" s="37">
        <f t="shared" si="115"/>
        <v>8</v>
      </c>
      <c r="M219" s="37">
        <f t="shared" si="116"/>
        <v>8</v>
      </c>
      <c r="N219" s="37">
        <f t="shared" si="116"/>
        <v>8</v>
      </c>
      <c r="O219" s="37">
        <f t="shared" si="116"/>
        <v>8</v>
      </c>
      <c r="P219" s="37">
        <f t="shared" si="116"/>
        <v>8</v>
      </c>
      <c r="Q219" s="37">
        <f t="shared" si="116"/>
        <v>8</v>
      </c>
      <c r="R219" s="37">
        <f t="shared" si="116"/>
        <v>8</v>
      </c>
      <c r="S219" s="37">
        <f t="shared" si="116"/>
        <v>8</v>
      </c>
      <c r="T219" s="37">
        <f t="shared" si="116"/>
        <v>8</v>
      </c>
      <c r="U219" s="37">
        <f t="shared" si="116"/>
        <v>8</v>
      </c>
      <c r="V219" s="37">
        <f t="shared" si="116"/>
        <v>8</v>
      </c>
    </row>
    <row r="220" spans="1:22" x14ac:dyDescent="0.25">
      <c r="B220" s="36" t="s">
        <v>80</v>
      </c>
      <c r="C220" s="37">
        <f t="shared" si="115"/>
        <v>0</v>
      </c>
      <c r="D220" s="37">
        <f t="shared" si="115"/>
        <v>0</v>
      </c>
      <c r="E220" s="37">
        <f t="shared" si="115"/>
        <v>0</v>
      </c>
      <c r="F220" s="37">
        <f t="shared" si="115"/>
        <v>0</v>
      </c>
      <c r="G220" s="37">
        <f t="shared" si="115"/>
        <v>0</v>
      </c>
      <c r="H220" s="37">
        <f t="shared" si="115"/>
        <v>0</v>
      </c>
      <c r="I220" s="37">
        <f t="shared" si="115"/>
        <v>0</v>
      </c>
      <c r="J220" s="37">
        <f t="shared" si="115"/>
        <v>0</v>
      </c>
      <c r="K220" s="37">
        <f t="shared" si="115"/>
        <v>0</v>
      </c>
      <c r="L220" s="37">
        <f t="shared" si="115"/>
        <v>0</v>
      </c>
      <c r="M220" s="37">
        <f t="shared" si="116"/>
        <v>0</v>
      </c>
      <c r="N220" s="37">
        <f t="shared" si="116"/>
        <v>0</v>
      </c>
      <c r="O220" s="37">
        <f t="shared" si="116"/>
        <v>0</v>
      </c>
      <c r="P220" s="37">
        <f t="shared" si="116"/>
        <v>0</v>
      </c>
      <c r="Q220" s="37">
        <f t="shared" si="116"/>
        <v>0</v>
      </c>
      <c r="R220" s="37">
        <f t="shared" si="116"/>
        <v>0</v>
      </c>
      <c r="S220" s="37">
        <f t="shared" si="116"/>
        <v>0</v>
      </c>
      <c r="T220" s="37">
        <f t="shared" si="116"/>
        <v>0</v>
      </c>
      <c r="U220" s="37">
        <f t="shared" si="116"/>
        <v>0</v>
      </c>
      <c r="V220" s="37">
        <f t="shared" si="116"/>
        <v>0</v>
      </c>
    </row>
    <row r="221" spans="1:22" x14ac:dyDescent="0.25">
      <c r="B221" s="36" t="s">
        <v>44</v>
      </c>
      <c r="C221" s="37">
        <f t="shared" si="115"/>
        <v>0.9</v>
      </c>
      <c r="D221" s="37">
        <f t="shared" si="115"/>
        <v>0.8</v>
      </c>
      <c r="E221" s="37">
        <f t="shared" si="115"/>
        <v>0.7</v>
      </c>
      <c r="F221" s="37">
        <f t="shared" si="115"/>
        <v>0.6</v>
      </c>
      <c r="G221" s="37">
        <f t="shared" si="115"/>
        <v>0.5</v>
      </c>
      <c r="H221" s="37">
        <f t="shared" si="115"/>
        <v>0.4</v>
      </c>
      <c r="I221" s="37">
        <f t="shared" si="115"/>
        <v>0.30000000000000004</v>
      </c>
      <c r="J221" s="37">
        <f t="shared" si="115"/>
        <v>0.20000000000000007</v>
      </c>
      <c r="K221" s="37">
        <f t="shared" si="115"/>
        <v>0.10000000000000009</v>
      </c>
      <c r="L221" s="37">
        <f t="shared" si="115"/>
        <v>0</v>
      </c>
      <c r="M221" s="37">
        <f t="shared" si="116"/>
        <v>0</v>
      </c>
      <c r="N221" s="37">
        <f t="shared" si="116"/>
        <v>0</v>
      </c>
      <c r="O221" s="37">
        <f t="shared" si="116"/>
        <v>0</v>
      </c>
      <c r="P221" s="37">
        <f t="shared" si="116"/>
        <v>0</v>
      </c>
      <c r="Q221" s="37">
        <f t="shared" si="116"/>
        <v>0</v>
      </c>
      <c r="R221" s="37">
        <f t="shared" si="116"/>
        <v>0</v>
      </c>
      <c r="S221" s="37">
        <f t="shared" si="116"/>
        <v>0</v>
      </c>
      <c r="T221" s="37">
        <f t="shared" si="116"/>
        <v>0</v>
      </c>
      <c r="U221" s="37">
        <f t="shared" si="116"/>
        <v>0</v>
      </c>
      <c r="V221" s="37">
        <f t="shared" si="116"/>
        <v>0</v>
      </c>
    </row>
    <row r="222" spans="1:22" x14ac:dyDescent="0.25">
      <c r="B222" s="36" t="s">
        <v>81</v>
      </c>
      <c r="C222" s="37">
        <f t="shared" si="115"/>
        <v>0</v>
      </c>
      <c r="D222" s="37">
        <f t="shared" si="115"/>
        <v>0</v>
      </c>
      <c r="E222" s="37">
        <f t="shared" si="115"/>
        <v>0</v>
      </c>
      <c r="F222" s="37">
        <f t="shared" si="115"/>
        <v>0</v>
      </c>
      <c r="G222" s="37">
        <f t="shared" si="115"/>
        <v>0</v>
      </c>
      <c r="H222" s="37">
        <f t="shared" si="115"/>
        <v>0</v>
      </c>
      <c r="I222" s="37">
        <f t="shared" si="115"/>
        <v>0</v>
      </c>
      <c r="J222" s="37">
        <f t="shared" si="115"/>
        <v>0</v>
      </c>
      <c r="K222" s="37">
        <f t="shared" si="115"/>
        <v>0</v>
      </c>
      <c r="L222" s="37">
        <f t="shared" si="115"/>
        <v>0</v>
      </c>
      <c r="M222" s="37">
        <f t="shared" si="116"/>
        <v>0</v>
      </c>
      <c r="N222" s="37">
        <f t="shared" si="116"/>
        <v>0</v>
      </c>
      <c r="O222" s="37">
        <f t="shared" si="116"/>
        <v>0</v>
      </c>
      <c r="P222" s="37">
        <f t="shared" si="116"/>
        <v>0</v>
      </c>
      <c r="Q222" s="37">
        <f t="shared" si="116"/>
        <v>0</v>
      </c>
      <c r="R222" s="37">
        <f t="shared" si="116"/>
        <v>0</v>
      </c>
      <c r="S222" s="37">
        <f t="shared" si="116"/>
        <v>0</v>
      </c>
      <c r="T222" s="37">
        <f t="shared" si="116"/>
        <v>0</v>
      </c>
      <c r="U222" s="37">
        <f t="shared" si="116"/>
        <v>0</v>
      </c>
      <c r="V222" s="37">
        <f t="shared" si="116"/>
        <v>0</v>
      </c>
    </row>
    <row r="223" spans="1:22" x14ac:dyDescent="0.25">
      <c r="B223" s="36" t="s">
        <v>42</v>
      </c>
      <c r="C223" s="37" t="e">
        <f t="shared" si="115"/>
        <v>#REF!</v>
      </c>
      <c r="D223" s="37" t="e">
        <f t="shared" si="115"/>
        <v>#REF!</v>
      </c>
      <c r="E223" s="37" t="e">
        <f t="shared" si="115"/>
        <v>#REF!</v>
      </c>
      <c r="F223" s="37" t="e">
        <f t="shared" si="115"/>
        <v>#REF!</v>
      </c>
      <c r="G223" s="37" t="e">
        <f t="shared" si="115"/>
        <v>#REF!</v>
      </c>
      <c r="H223" s="37" t="e">
        <f t="shared" si="115"/>
        <v>#REF!</v>
      </c>
      <c r="I223" s="37" t="e">
        <f t="shared" si="115"/>
        <v>#REF!</v>
      </c>
      <c r="J223" s="37" t="e">
        <f t="shared" si="115"/>
        <v>#REF!</v>
      </c>
      <c r="K223" s="37" t="e">
        <f t="shared" si="115"/>
        <v>#REF!</v>
      </c>
      <c r="L223" s="37" t="e">
        <f t="shared" si="115"/>
        <v>#REF!</v>
      </c>
      <c r="M223" s="37" t="e">
        <f t="shared" si="116"/>
        <v>#REF!</v>
      </c>
      <c r="N223" s="37" t="e">
        <f t="shared" si="116"/>
        <v>#REF!</v>
      </c>
      <c r="O223" s="37" t="e">
        <f t="shared" si="116"/>
        <v>#REF!</v>
      </c>
      <c r="P223" s="37" t="e">
        <f t="shared" si="116"/>
        <v>#REF!</v>
      </c>
      <c r="Q223" s="37" t="e">
        <f t="shared" si="116"/>
        <v>#REF!</v>
      </c>
      <c r="R223" s="37" t="e">
        <f t="shared" si="116"/>
        <v>#REF!</v>
      </c>
      <c r="S223" s="37" t="e">
        <f t="shared" si="116"/>
        <v>#REF!</v>
      </c>
      <c r="T223" s="37" t="e">
        <f t="shared" si="116"/>
        <v>#REF!</v>
      </c>
      <c r="U223" s="37" t="e">
        <f t="shared" si="116"/>
        <v>#REF!</v>
      </c>
      <c r="V223" s="37" t="e">
        <f t="shared" si="116"/>
        <v>#REF!</v>
      </c>
    </row>
    <row r="224" spans="1:22" ht="14.4" thickBot="1" x14ac:dyDescent="0.3">
      <c r="B224" s="42" t="s">
        <v>45</v>
      </c>
      <c r="C224" s="37">
        <f t="shared" si="115"/>
        <v>2.7</v>
      </c>
      <c r="D224" s="37">
        <f t="shared" si="115"/>
        <v>2.4</v>
      </c>
      <c r="E224" s="37">
        <f t="shared" si="115"/>
        <v>2.1</v>
      </c>
      <c r="F224" s="37">
        <f t="shared" si="115"/>
        <v>1.8</v>
      </c>
      <c r="G224" s="37">
        <f t="shared" si="115"/>
        <v>1.5</v>
      </c>
      <c r="H224" s="37">
        <f t="shared" si="115"/>
        <v>1.2</v>
      </c>
      <c r="I224" s="37">
        <f t="shared" si="115"/>
        <v>0.89999999999999991</v>
      </c>
      <c r="J224" s="37">
        <f t="shared" si="115"/>
        <v>0.60000000000000009</v>
      </c>
      <c r="K224" s="37">
        <f t="shared" si="115"/>
        <v>0.30000000000000027</v>
      </c>
      <c r="L224" s="37">
        <f t="shared" si="115"/>
        <v>4.4408920985006262E-16</v>
      </c>
      <c r="M224" s="37">
        <f t="shared" si="116"/>
        <v>4.4408920985006262E-16</v>
      </c>
      <c r="N224" s="37">
        <f t="shared" si="116"/>
        <v>4.4408920985006262E-16</v>
      </c>
      <c r="O224" s="37">
        <f t="shared" si="116"/>
        <v>4.4408920985006262E-16</v>
      </c>
      <c r="P224" s="37">
        <f t="shared" si="116"/>
        <v>4.4408920985006262E-16</v>
      </c>
      <c r="Q224" s="37">
        <f t="shared" si="116"/>
        <v>4.4408920985006262E-16</v>
      </c>
      <c r="R224" s="37">
        <f t="shared" si="116"/>
        <v>4.4408920985006262E-16</v>
      </c>
      <c r="S224" s="37">
        <f t="shared" si="116"/>
        <v>4.4408920985006262E-16</v>
      </c>
      <c r="T224" s="37">
        <f t="shared" si="116"/>
        <v>4.4408920985006262E-16</v>
      </c>
      <c r="U224" s="37">
        <f t="shared" si="116"/>
        <v>4.4408920985006262E-16</v>
      </c>
      <c r="V224" s="37">
        <f t="shared" si="116"/>
        <v>4.4408920985006262E-16</v>
      </c>
    </row>
    <row r="226" spans="1:22" x14ac:dyDescent="0.25">
      <c r="C226" s="96" t="e">
        <f>SUM(C217:C224)</f>
        <v>#REF!</v>
      </c>
      <c r="D226" s="96" t="e">
        <f t="shared" ref="D226:V226" si="117">SUM(D217:D224)</f>
        <v>#REF!</v>
      </c>
      <c r="E226" s="96" t="e">
        <f t="shared" si="117"/>
        <v>#REF!</v>
      </c>
      <c r="F226" s="96" t="e">
        <f t="shared" si="117"/>
        <v>#REF!</v>
      </c>
      <c r="G226" s="96" t="e">
        <f t="shared" si="117"/>
        <v>#REF!</v>
      </c>
      <c r="H226" s="96" t="e">
        <f t="shared" si="117"/>
        <v>#REF!</v>
      </c>
      <c r="I226" s="96" t="e">
        <f t="shared" si="117"/>
        <v>#REF!</v>
      </c>
      <c r="J226" s="96" t="e">
        <f t="shared" si="117"/>
        <v>#REF!</v>
      </c>
      <c r="K226" s="96" t="e">
        <f t="shared" si="117"/>
        <v>#REF!</v>
      </c>
      <c r="L226" s="97" t="e">
        <f t="shared" si="117"/>
        <v>#REF!</v>
      </c>
      <c r="M226" s="96" t="e">
        <f t="shared" si="117"/>
        <v>#REF!</v>
      </c>
      <c r="N226" s="96" t="e">
        <f t="shared" si="117"/>
        <v>#REF!</v>
      </c>
      <c r="O226" s="96" t="e">
        <f t="shared" si="117"/>
        <v>#REF!</v>
      </c>
      <c r="P226" s="96" t="e">
        <f t="shared" si="117"/>
        <v>#REF!</v>
      </c>
      <c r="Q226" s="96" t="e">
        <f t="shared" si="117"/>
        <v>#REF!</v>
      </c>
      <c r="R226" s="96" t="e">
        <f t="shared" si="117"/>
        <v>#REF!</v>
      </c>
      <c r="S226" s="96" t="e">
        <f t="shared" si="117"/>
        <v>#REF!</v>
      </c>
      <c r="T226" s="96" t="e">
        <f t="shared" si="117"/>
        <v>#REF!</v>
      </c>
      <c r="U226" s="96" t="e">
        <f t="shared" si="117"/>
        <v>#REF!</v>
      </c>
      <c r="V226" s="96" t="e">
        <f t="shared" si="117"/>
        <v>#REF!</v>
      </c>
    </row>
    <row r="228" spans="1:22" ht="14.4" thickBot="1" x14ac:dyDescent="0.3">
      <c r="B228" s="2" t="s">
        <v>6</v>
      </c>
    </row>
    <row r="229" spans="1:22" x14ac:dyDescent="0.25">
      <c r="B229" s="57" t="s">
        <v>82</v>
      </c>
      <c r="C229" s="77">
        <v>2021</v>
      </c>
      <c r="D229" s="77">
        <v>2022</v>
      </c>
      <c r="E229" s="77">
        <v>2023</v>
      </c>
      <c r="F229" s="77">
        <v>2024</v>
      </c>
      <c r="G229" s="77">
        <v>2025</v>
      </c>
      <c r="H229" s="77">
        <v>2026</v>
      </c>
      <c r="I229" s="77">
        <v>2027</v>
      </c>
      <c r="J229" s="77">
        <v>2028</v>
      </c>
      <c r="K229" s="77">
        <v>2029</v>
      </c>
      <c r="L229" s="77">
        <v>2030</v>
      </c>
      <c r="M229" s="77">
        <v>2031</v>
      </c>
      <c r="N229" s="77">
        <v>2032</v>
      </c>
      <c r="O229" s="77">
        <v>2033</v>
      </c>
      <c r="P229" s="77">
        <v>2034</v>
      </c>
      <c r="Q229" s="77">
        <v>2035</v>
      </c>
      <c r="R229" s="77">
        <v>2036</v>
      </c>
      <c r="S229" s="77">
        <v>2037</v>
      </c>
      <c r="T229" s="77">
        <v>2038</v>
      </c>
      <c r="U229" s="77">
        <v>2039</v>
      </c>
      <c r="V229" s="77">
        <v>2040</v>
      </c>
    </row>
    <row r="230" spans="1:22" x14ac:dyDescent="0.25">
      <c r="B230" s="36" t="s">
        <v>95</v>
      </c>
      <c r="C230" s="91">
        <f>SUM(C158:C204)</f>
        <v>42</v>
      </c>
      <c r="D230" s="91">
        <f t="shared" ref="D230:V230" si="118">SUM(D158:D204)</f>
        <v>38</v>
      </c>
      <c r="E230" s="91">
        <f t="shared" si="118"/>
        <v>32</v>
      </c>
      <c r="F230" s="91">
        <f t="shared" si="118"/>
        <v>29</v>
      </c>
      <c r="G230" s="91">
        <f t="shared" si="118"/>
        <v>24</v>
      </c>
      <c r="H230" s="91">
        <f t="shared" si="118"/>
        <v>20</v>
      </c>
      <c r="I230" s="91">
        <f t="shared" si="118"/>
        <v>17</v>
      </c>
      <c r="J230" s="91">
        <f t="shared" si="118"/>
        <v>15</v>
      </c>
      <c r="K230" s="91">
        <f t="shared" si="118"/>
        <v>15</v>
      </c>
      <c r="L230" s="91">
        <f t="shared" si="118"/>
        <v>15</v>
      </c>
      <c r="M230" s="91">
        <f t="shared" si="118"/>
        <v>13</v>
      </c>
      <c r="N230" s="91">
        <f t="shared" si="118"/>
        <v>13</v>
      </c>
      <c r="O230" s="91">
        <f t="shared" si="118"/>
        <v>13</v>
      </c>
      <c r="P230" s="91">
        <f t="shared" si="118"/>
        <v>13</v>
      </c>
      <c r="Q230" s="91">
        <f t="shared" si="118"/>
        <v>13</v>
      </c>
      <c r="R230" s="91">
        <f t="shared" si="118"/>
        <v>13</v>
      </c>
      <c r="S230" s="91">
        <f t="shared" si="118"/>
        <v>13</v>
      </c>
      <c r="T230" s="91">
        <f t="shared" si="118"/>
        <v>13</v>
      </c>
      <c r="U230" s="91">
        <f t="shared" si="118"/>
        <v>13</v>
      </c>
      <c r="V230" s="91">
        <f t="shared" si="118"/>
        <v>13</v>
      </c>
    </row>
    <row r="231" spans="1:22" x14ac:dyDescent="0.25">
      <c r="B231" s="36" t="s">
        <v>96</v>
      </c>
      <c r="C231" s="98" t="e">
        <f>SUM(C205:C212)</f>
        <v>#REF!</v>
      </c>
      <c r="D231" s="98" t="e">
        <f t="shared" ref="D231:V231" si="119">SUM(D205:D212)</f>
        <v>#REF!</v>
      </c>
      <c r="E231" s="98" t="e">
        <f t="shared" si="119"/>
        <v>#REF!</v>
      </c>
      <c r="F231" s="98" t="e">
        <f t="shared" si="119"/>
        <v>#REF!</v>
      </c>
      <c r="G231" s="98" t="e">
        <f t="shared" si="119"/>
        <v>#REF!</v>
      </c>
      <c r="H231" s="98" t="e">
        <f t="shared" si="119"/>
        <v>#REF!</v>
      </c>
      <c r="I231" s="98" t="e">
        <f t="shared" si="119"/>
        <v>#REF!</v>
      </c>
      <c r="J231" s="98" t="e">
        <f t="shared" si="119"/>
        <v>#REF!</v>
      </c>
      <c r="K231" s="98" t="e">
        <f t="shared" si="119"/>
        <v>#REF!</v>
      </c>
      <c r="L231" s="98" t="e">
        <f t="shared" si="119"/>
        <v>#REF!</v>
      </c>
      <c r="M231" s="98" t="e">
        <f t="shared" si="119"/>
        <v>#REF!</v>
      </c>
      <c r="N231" s="98" t="e">
        <f t="shared" si="119"/>
        <v>#REF!</v>
      </c>
      <c r="O231" s="98" t="e">
        <f t="shared" si="119"/>
        <v>#REF!</v>
      </c>
      <c r="P231" s="98" t="e">
        <f t="shared" si="119"/>
        <v>#REF!</v>
      </c>
      <c r="Q231" s="98" t="e">
        <f t="shared" si="119"/>
        <v>#REF!</v>
      </c>
      <c r="R231" s="98" t="e">
        <f t="shared" si="119"/>
        <v>#REF!</v>
      </c>
      <c r="S231" s="98" t="e">
        <f t="shared" si="119"/>
        <v>#REF!</v>
      </c>
      <c r="T231" s="98" t="e">
        <f t="shared" si="119"/>
        <v>#REF!</v>
      </c>
      <c r="U231" s="98" t="e">
        <f t="shared" si="119"/>
        <v>#REF!</v>
      </c>
      <c r="V231" s="98" t="e">
        <f t="shared" si="119"/>
        <v>#REF!</v>
      </c>
    </row>
    <row r="233" spans="1:22" ht="14.4" x14ac:dyDescent="0.3">
      <c r="A233" s="99" t="s">
        <v>134</v>
      </c>
    </row>
  </sheetData>
  <autoFilter ref="A1:V48" xr:uid="{3A8DBBC3-2F6E-4F74-9731-6A90B0FA0F89}">
    <sortState xmlns:xlrd2="http://schemas.microsoft.com/office/spreadsheetml/2017/richdata2" ref="A2:V48">
      <sortCondition ref="A1:A48"/>
    </sortState>
  </autoFilter>
  <pageMargins left="0.7" right="0.7" top="0.75" bottom="0.75" header="0.3" footer="0.3"/>
  <pageSetup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1A3B22-75F5-454B-AFD2-4420D36E43E8}">
  <sheetPr codeName="Sheet22">
    <tabColor rgb="FFFFFF00"/>
  </sheetPr>
  <dimension ref="A1:Y54"/>
  <sheetViews>
    <sheetView zoomScaleNormal="100" workbookViewId="0">
      <selection activeCell="E4" sqref="E4"/>
    </sheetView>
  </sheetViews>
  <sheetFormatPr defaultRowHeight="13.8" x14ac:dyDescent="0.25"/>
  <cols>
    <col min="1" max="1" width="21.6640625" style="2" customWidth="1"/>
    <col min="2" max="2" width="52.44140625" style="2" customWidth="1"/>
    <col min="3" max="22" width="9.44140625" style="85" customWidth="1"/>
    <col min="23" max="23" width="11.33203125" style="85" bestFit="1" customWidth="1"/>
    <col min="24" max="24" width="30.6640625" style="106" customWidth="1"/>
    <col min="25" max="16384" width="8.88671875" style="2"/>
  </cols>
  <sheetData>
    <row r="1" spans="1:25" s="11" customFormat="1" x14ac:dyDescent="0.25">
      <c r="A1" s="30" t="s">
        <v>16</v>
      </c>
      <c r="B1" s="30" t="s">
        <v>82</v>
      </c>
      <c r="C1" s="78">
        <v>2021</v>
      </c>
      <c r="D1" s="79">
        <v>2022</v>
      </c>
      <c r="E1" s="78">
        <v>2023</v>
      </c>
      <c r="F1" s="79">
        <v>2024</v>
      </c>
      <c r="G1" s="78">
        <v>2025</v>
      </c>
      <c r="H1" s="79">
        <v>2026</v>
      </c>
      <c r="I1" s="78">
        <v>2027</v>
      </c>
      <c r="J1" s="79">
        <v>2028</v>
      </c>
      <c r="K1" s="78">
        <v>2029</v>
      </c>
      <c r="L1" s="79">
        <v>2030</v>
      </c>
      <c r="M1" s="78">
        <v>2031</v>
      </c>
      <c r="N1" s="79">
        <v>2032</v>
      </c>
      <c r="O1" s="78">
        <v>2033</v>
      </c>
      <c r="P1" s="79">
        <v>2034</v>
      </c>
      <c r="Q1" s="78">
        <v>2035</v>
      </c>
      <c r="R1" s="79">
        <v>2036</v>
      </c>
      <c r="S1" s="78">
        <v>2037</v>
      </c>
      <c r="T1" s="79">
        <v>2038</v>
      </c>
      <c r="U1" s="78">
        <v>2039</v>
      </c>
      <c r="V1" s="79">
        <v>2040</v>
      </c>
      <c r="W1" s="80"/>
      <c r="X1" s="46" t="s">
        <v>160</v>
      </c>
    </row>
    <row r="2" spans="1:25" x14ac:dyDescent="0.25">
      <c r="A2" s="32" t="s">
        <v>47</v>
      </c>
      <c r="B2" s="33" t="s">
        <v>41</v>
      </c>
      <c r="C2" s="101"/>
      <c r="D2" s="101"/>
      <c r="E2" s="101"/>
      <c r="F2" s="101"/>
      <c r="G2" s="101"/>
      <c r="H2" s="101"/>
      <c r="I2" s="101"/>
      <c r="J2" s="101"/>
      <c r="K2" s="101"/>
      <c r="L2" s="101"/>
      <c r="M2" s="101"/>
      <c r="N2" s="101"/>
      <c r="O2" s="101"/>
      <c r="P2" s="101"/>
      <c r="Q2" s="101"/>
      <c r="R2" s="101"/>
      <c r="S2" s="101"/>
      <c r="T2" s="101"/>
      <c r="U2" s="101"/>
      <c r="V2" s="101"/>
      <c r="W2" s="2"/>
    </row>
    <row r="3" spans="1:25" x14ac:dyDescent="0.25">
      <c r="A3" s="32" t="s">
        <v>17</v>
      </c>
      <c r="B3" s="33" t="s">
        <v>41</v>
      </c>
      <c r="C3" s="101">
        <v>2249.4702694444441</v>
      </c>
      <c r="D3" s="101">
        <v>1189.7750000000001</v>
      </c>
      <c r="E3" s="101">
        <v>649.57638888888891</v>
      </c>
      <c r="F3" s="101">
        <v>1663.1641649999997</v>
      </c>
      <c r="G3" s="101">
        <v>1663.1641649999997</v>
      </c>
      <c r="H3" s="101">
        <v>1663.1641649999997</v>
      </c>
      <c r="I3" s="101">
        <v>1663.1641649999997</v>
      </c>
      <c r="J3" s="101">
        <v>1663.1641649999997</v>
      </c>
      <c r="K3" s="101">
        <v>1663.1641649999997</v>
      </c>
      <c r="L3" s="101">
        <v>1663.1641649999997</v>
      </c>
      <c r="M3" s="101">
        <v>1663.1641649999997</v>
      </c>
      <c r="N3" s="101">
        <v>1663.1641649999997</v>
      </c>
      <c r="O3" s="101">
        <v>1663.1641649999997</v>
      </c>
      <c r="P3" s="101">
        <v>1663.1641649999997</v>
      </c>
      <c r="Q3" s="101">
        <v>1663.1641649999997</v>
      </c>
      <c r="R3" s="101">
        <v>1663.1641649999997</v>
      </c>
      <c r="S3" s="101">
        <v>1663.1641649999997</v>
      </c>
      <c r="T3" s="101">
        <v>1663.1641649999997</v>
      </c>
      <c r="U3" s="101">
        <v>1663.1641649999997</v>
      </c>
      <c r="V3" s="101">
        <v>1663.1641649999997</v>
      </c>
      <c r="W3" s="84"/>
      <c r="X3" s="125">
        <f>IFERROR(SUM(C3:V3)/COUNT(C3:V3),"-")</f>
        <v>1618.1306231666658</v>
      </c>
      <c r="Y3" s="107"/>
    </row>
    <row r="4" spans="1:25" x14ac:dyDescent="0.25">
      <c r="A4" s="32" t="s">
        <v>49</v>
      </c>
      <c r="B4" s="33" t="s">
        <v>41</v>
      </c>
      <c r="C4" s="101">
        <v>1151.5091666666667</v>
      </c>
      <c r="D4" s="101">
        <v>1164.4527777777778</v>
      </c>
      <c r="E4" s="101">
        <v>862.00805555555553</v>
      </c>
      <c r="F4" s="101">
        <v>1093.0107777777775</v>
      </c>
      <c r="G4" s="101">
        <v>1093.0107777777775</v>
      </c>
      <c r="H4" s="101">
        <v>1093.0107777777775</v>
      </c>
      <c r="I4" s="101">
        <v>1093.0107777777775</v>
      </c>
      <c r="J4" s="101">
        <v>1093.0107777777775</v>
      </c>
      <c r="K4" s="101">
        <v>1093.0107777777775</v>
      </c>
      <c r="L4" s="101">
        <v>1093.0107777777775</v>
      </c>
      <c r="M4" s="101">
        <v>1093.0107777777775</v>
      </c>
      <c r="N4" s="101">
        <v>1093.0107777777775</v>
      </c>
      <c r="O4" s="101">
        <v>1093.0107777777775</v>
      </c>
      <c r="P4" s="101">
        <v>1093.0107777777775</v>
      </c>
      <c r="Q4" s="101">
        <v>1093.0107777777775</v>
      </c>
      <c r="R4" s="101">
        <v>1093.0107777777775</v>
      </c>
      <c r="S4" s="101">
        <v>1093.0107777777775</v>
      </c>
      <c r="T4" s="101">
        <v>1093.0107777777775</v>
      </c>
      <c r="U4" s="101">
        <v>1093.0107777777775</v>
      </c>
      <c r="V4" s="101">
        <v>1093.0107777777775</v>
      </c>
      <c r="W4" s="84"/>
      <c r="X4" s="125">
        <f t="shared" ref="X4:X48" si="0">IFERROR(SUM(C4:V4)/COUNT(C4:V4),"-")</f>
        <v>1087.9576611111108</v>
      </c>
    </row>
    <row r="5" spans="1:25" x14ac:dyDescent="0.25">
      <c r="A5" s="32" t="s">
        <v>50</v>
      </c>
      <c r="B5" s="39" t="s">
        <v>48</v>
      </c>
      <c r="C5" s="101"/>
      <c r="D5" s="101"/>
      <c r="E5" s="101"/>
      <c r="F5" s="101"/>
      <c r="G5" s="101"/>
      <c r="H5" s="101"/>
      <c r="I5" s="101"/>
      <c r="J5" s="101"/>
      <c r="K5" s="101"/>
      <c r="L5" s="101"/>
      <c r="M5" s="101"/>
      <c r="N5" s="101"/>
      <c r="O5" s="101"/>
      <c r="P5" s="101"/>
      <c r="Q5" s="101"/>
      <c r="R5" s="101"/>
      <c r="S5" s="101"/>
      <c r="T5" s="101"/>
      <c r="U5" s="101"/>
      <c r="V5" s="101"/>
      <c r="W5" s="2"/>
      <c r="X5" s="125" t="str">
        <f t="shared" si="0"/>
        <v>-</v>
      </c>
    </row>
    <row r="6" spans="1:25" x14ac:dyDescent="0.25">
      <c r="A6" s="32" t="s">
        <v>51</v>
      </c>
      <c r="B6" s="40" t="s">
        <v>42</v>
      </c>
      <c r="C6" s="101">
        <v>30.559216666666664</v>
      </c>
      <c r="D6" s="101">
        <v>69.774163888888879</v>
      </c>
      <c r="E6" s="101">
        <v>18.289311111111111</v>
      </c>
      <c r="F6" s="101">
        <v>35.440637222222215</v>
      </c>
      <c r="G6" s="101">
        <v>35.440637222222215</v>
      </c>
      <c r="H6" s="101">
        <v>35.440637222222215</v>
      </c>
      <c r="I6" s="101">
        <v>35.440637222222215</v>
      </c>
      <c r="J6" s="101">
        <v>35.440637222222215</v>
      </c>
      <c r="K6" s="101">
        <v>35.440637222222215</v>
      </c>
      <c r="L6" s="101">
        <v>35.440637222222215</v>
      </c>
      <c r="M6" s="101">
        <v>35.440637222222215</v>
      </c>
      <c r="N6" s="101">
        <v>35.440637222222215</v>
      </c>
      <c r="O6" s="101">
        <v>35.440637222222215</v>
      </c>
      <c r="P6" s="101">
        <v>35.440637222222215</v>
      </c>
      <c r="Q6" s="101">
        <v>35.440637222222215</v>
      </c>
      <c r="R6" s="101">
        <v>35.440637222222215</v>
      </c>
      <c r="S6" s="101">
        <v>35.440637222222215</v>
      </c>
      <c r="T6" s="101">
        <v>35.440637222222215</v>
      </c>
      <c r="U6" s="101">
        <v>35.440637222222215</v>
      </c>
      <c r="V6" s="101">
        <v>35.440637222222215</v>
      </c>
      <c r="W6" s="2"/>
      <c r="X6" s="125">
        <f t="shared" si="0"/>
        <v>36.055676222222218</v>
      </c>
    </row>
    <row r="7" spans="1:25" x14ac:dyDescent="0.25">
      <c r="A7" s="32" t="s">
        <v>52</v>
      </c>
      <c r="B7" s="33" t="s">
        <v>41</v>
      </c>
      <c r="C7" s="101">
        <v>667.42555555555555</v>
      </c>
      <c r="D7" s="101">
        <v>707.53916666666669</v>
      </c>
      <c r="E7" s="101">
        <v>608.43833333333339</v>
      </c>
      <c r="F7" s="101">
        <v>671.11811111111115</v>
      </c>
      <c r="G7" s="101">
        <v>671.11811111111115</v>
      </c>
      <c r="H7" s="101">
        <v>671.11811111111115</v>
      </c>
      <c r="I7" s="101">
        <v>671.11811111111115</v>
      </c>
      <c r="J7" s="101">
        <v>671.11811111111115</v>
      </c>
      <c r="K7" s="101">
        <v>671.11811111111115</v>
      </c>
      <c r="L7" s="101">
        <v>671.11811111111115</v>
      </c>
      <c r="M7" s="101">
        <v>671.11811111111115</v>
      </c>
      <c r="N7" s="101">
        <v>671.11811111111115</v>
      </c>
      <c r="O7" s="101">
        <v>671.11811111111115</v>
      </c>
      <c r="P7" s="101">
        <v>671.11811111111115</v>
      </c>
      <c r="Q7" s="101">
        <v>671.11811111111115</v>
      </c>
      <c r="R7" s="101">
        <v>671.11811111111115</v>
      </c>
      <c r="S7" s="101">
        <v>671.11811111111115</v>
      </c>
      <c r="T7" s="101">
        <v>671.11811111111115</v>
      </c>
      <c r="U7" s="101">
        <v>671.11811111111115</v>
      </c>
      <c r="V7" s="101">
        <v>671.11811111111115</v>
      </c>
      <c r="W7" s="2"/>
      <c r="X7" s="125">
        <f t="shared" si="0"/>
        <v>669.62054722222206</v>
      </c>
    </row>
    <row r="8" spans="1:25" x14ac:dyDescent="0.25">
      <c r="A8" s="32" t="s">
        <v>18</v>
      </c>
      <c r="B8" s="41" t="s">
        <v>48</v>
      </c>
      <c r="C8" s="101">
        <v>508.14004722222222</v>
      </c>
      <c r="D8" s="101">
        <v>377.5913888888889</v>
      </c>
      <c r="E8" s="101">
        <v>307.24861111111113</v>
      </c>
      <c r="F8" s="101">
        <v>392.20349666666669</v>
      </c>
      <c r="G8" s="101">
        <v>392.20349666666669</v>
      </c>
      <c r="H8" s="101">
        <v>392.20349666666669</v>
      </c>
      <c r="I8" s="101">
        <v>392.20349666666669</v>
      </c>
      <c r="J8" s="101">
        <v>392.20349666666669</v>
      </c>
      <c r="K8" s="101">
        <v>392.20349666666669</v>
      </c>
      <c r="L8" s="101">
        <v>392.20349666666669</v>
      </c>
      <c r="M8" s="101">
        <v>392.20349666666669</v>
      </c>
      <c r="N8" s="101">
        <v>392.20349666666669</v>
      </c>
      <c r="O8" s="101">
        <v>392.20349666666669</v>
      </c>
      <c r="P8" s="101">
        <v>392.20349666666669</v>
      </c>
      <c r="Q8" s="101">
        <v>392.20349666666669</v>
      </c>
      <c r="R8" s="101">
        <v>392.20349666666669</v>
      </c>
      <c r="S8" s="101">
        <v>392.20349666666669</v>
      </c>
      <c r="T8" s="101">
        <v>392.20349666666669</v>
      </c>
      <c r="U8" s="101">
        <v>392.20349666666669</v>
      </c>
      <c r="V8" s="101">
        <v>392.20349666666669</v>
      </c>
      <c r="W8" s="2"/>
      <c r="X8" s="125">
        <f t="shared" si="0"/>
        <v>393.0219745277779</v>
      </c>
    </row>
    <row r="9" spans="1:25" x14ac:dyDescent="0.25">
      <c r="A9" s="32" t="s">
        <v>53</v>
      </c>
      <c r="B9" s="33" t="s">
        <v>41</v>
      </c>
      <c r="C9" s="101"/>
      <c r="D9" s="101"/>
      <c r="E9" s="101"/>
      <c r="F9" s="101"/>
      <c r="G9" s="101"/>
      <c r="H9" s="101"/>
      <c r="I9" s="101"/>
      <c r="J9" s="101"/>
      <c r="K9" s="101"/>
      <c r="L9" s="101"/>
      <c r="M9" s="101"/>
      <c r="N9" s="101"/>
      <c r="O9" s="101"/>
      <c r="P9" s="101"/>
      <c r="Q9" s="101"/>
      <c r="R9" s="101"/>
      <c r="S9" s="101"/>
      <c r="T9" s="101"/>
      <c r="U9" s="101"/>
      <c r="V9" s="101"/>
      <c r="W9" s="2"/>
      <c r="X9" s="125" t="str">
        <f t="shared" si="0"/>
        <v>-</v>
      </c>
    </row>
    <row r="10" spans="1:25" x14ac:dyDescent="0.25">
      <c r="A10" s="32" t="s">
        <v>54</v>
      </c>
      <c r="B10" s="40" t="s">
        <v>43</v>
      </c>
      <c r="C10" s="101">
        <v>1178.5658305555555</v>
      </c>
      <c r="D10" s="101">
        <v>779.39891388888896</v>
      </c>
      <c r="E10" s="101">
        <v>4.2386111111111111</v>
      </c>
      <c r="F10" s="101">
        <v>871.54136999999992</v>
      </c>
      <c r="G10" s="101">
        <v>871.54136999999992</v>
      </c>
      <c r="H10" s="101">
        <v>871.54136999999992</v>
      </c>
      <c r="I10" s="101">
        <v>871.54136999999992</v>
      </c>
      <c r="J10" s="101">
        <v>871.54136999999992</v>
      </c>
      <c r="K10" s="101">
        <v>871.54136999999992</v>
      </c>
      <c r="L10" s="101">
        <v>871.54136999999992</v>
      </c>
      <c r="M10" s="101">
        <v>871.54136999999992</v>
      </c>
      <c r="N10" s="101">
        <v>871.54136999999992</v>
      </c>
      <c r="O10" s="101">
        <v>871.54136999999992</v>
      </c>
      <c r="P10" s="101">
        <v>871.54136999999992</v>
      </c>
      <c r="Q10" s="101">
        <v>871.54136999999992</v>
      </c>
      <c r="R10" s="101">
        <v>871.54136999999992</v>
      </c>
      <c r="S10" s="101">
        <v>871.54136999999992</v>
      </c>
      <c r="T10" s="101">
        <v>871.54136999999992</v>
      </c>
      <c r="U10" s="101">
        <v>871.54136999999992</v>
      </c>
      <c r="V10" s="101">
        <v>871.54136999999992</v>
      </c>
      <c r="W10" s="2"/>
      <c r="X10" s="125">
        <f t="shared" si="0"/>
        <v>838.92033227777733</v>
      </c>
    </row>
    <row r="11" spans="1:25" x14ac:dyDescent="0.25">
      <c r="A11" s="32" t="s">
        <v>55</v>
      </c>
      <c r="B11" s="40" t="s">
        <v>42</v>
      </c>
      <c r="C11" s="101"/>
      <c r="D11" s="101"/>
      <c r="E11" s="101"/>
      <c r="F11" s="101"/>
      <c r="G11" s="101"/>
      <c r="H11" s="101"/>
      <c r="I11" s="101"/>
      <c r="J11" s="101"/>
      <c r="K11" s="101"/>
      <c r="L11" s="101"/>
      <c r="M11" s="101"/>
      <c r="N11" s="101"/>
      <c r="O11" s="101"/>
      <c r="P11" s="101"/>
      <c r="Q11" s="101"/>
      <c r="R11" s="101"/>
      <c r="S11" s="101"/>
      <c r="T11" s="101"/>
      <c r="U11" s="101"/>
      <c r="V11" s="101"/>
      <c r="W11" s="2"/>
      <c r="X11" s="125" t="str">
        <f t="shared" si="0"/>
        <v>-</v>
      </c>
    </row>
    <row r="12" spans="1:25" x14ac:dyDescent="0.25">
      <c r="A12" s="32" t="s">
        <v>56</v>
      </c>
      <c r="B12" s="39" t="s">
        <v>43</v>
      </c>
      <c r="C12" s="101"/>
      <c r="D12" s="101"/>
      <c r="E12" s="101"/>
      <c r="F12" s="101"/>
      <c r="G12" s="101"/>
      <c r="H12" s="101"/>
      <c r="I12" s="101"/>
      <c r="J12" s="101"/>
      <c r="K12" s="101"/>
      <c r="L12" s="101"/>
      <c r="M12" s="101"/>
      <c r="N12" s="101"/>
      <c r="O12" s="101"/>
      <c r="P12" s="101"/>
      <c r="Q12" s="101"/>
      <c r="R12" s="101"/>
      <c r="S12" s="101"/>
      <c r="T12" s="101"/>
      <c r="U12" s="101"/>
      <c r="V12" s="101"/>
      <c r="W12" s="2"/>
      <c r="X12" s="125" t="str">
        <f t="shared" si="0"/>
        <v>-</v>
      </c>
    </row>
    <row r="13" spans="1:25" x14ac:dyDescent="0.25">
      <c r="A13" s="32" t="s">
        <v>66</v>
      </c>
      <c r="B13" s="41" t="s">
        <v>48</v>
      </c>
      <c r="C13" s="101"/>
      <c r="D13" s="101"/>
      <c r="E13" s="101"/>
      <c r="F13" s="101"/>
      <c r="G13" s="101"/>
      <c r="H13" s="101"/>
      <c r="I13" s="101"/>
      <c r="J13" s="101"/>
      <c r="K13" s="101"/>
      <c r="L13" s="101"/>
      <c r="M13" s="101"/>
      <c r="N13" s="101"/>
      <c r="O13" s="101"/>
      <c r="P13" s="101"/>
      <c r="Q13" s="101"/>
      <c r="R13" s="101"/>
      <c r="S13" s="101"/>
      <c r="T13" s="101"/>
      <c r="U13" s="101"/>
      <c r="V13" s="101"/>
      <c r="W13" s="2"/>
      <c r="X13" s="125" t="str">
        <f t="shared" si="0"/>
        <v>-</v>
      </c>
    </row>
    <row r="14" spans="1:25" x14ac:dyDescent="0.25">
      <c r="A14" s="32" t="s">
        <v>19</v>
      </c>
      <c r="B14" s="33" t="s">
        <v>41</v>
      </c>
      <c r="C14" s="101">
        <v>851.36055555555549</v>
      </c>
      <c r="D14" s="101">
        <v>921.41561944444436</v>
      </c>
      <c r="E14" s="101">
        <v>793.34499999999991</v>
      </c>
      <c r="F14" s="101">
        <v>796.60534611111109</v>
      </c>
      <c r="G14" s="101">
        <v>796.60534611111109</v>
      </c>
      <c r="H14" s="101">
        <v>796.60534611111109</v>
      </c>
      <c r="I14" s="101">
        <v>796.60534611111109</v>
      </c>
      <c r="J14" s="101">
        <v>796.60534611111109</v>
      </c>
      <c r="K14" s="101">
        <v>796.60534611111109</v>
      </c>
      <c r="L14" s="101">
        <v>796.60534611111109</v>
      </c>
      <c r="M14" s="101">
        <v>796.60534611111109</v>
      </c>
      <c r="N14" s="101">
        <v>796.60534611111109</v>
      </c>
      <c r="O14" s="101">
        <v>796.60534611111109</v>
      </c>
      <c r="P14" s="101">
        <v>796.60534611111109</v>
      </c>
      <c r="Q14" s="101">
        <v>796.60534611111109</v>
      </c>
      <c r="R14" s="101">
        <v>796.60534611111109</v>
      </c>
      <c r="S14" s="101">
        <v>796.60534611111109</v>
      </c>
      <c r="T14" s="101">
        <v>796.60534611111109</v>
      </c>
      <c r="U14" s="101">
        <v>796.60534611111109</v>
      </c>
      <c r="V14" s="101">
        <v>796.60534611111109</v>
      </c>
      <c r="W14" s="2"/>
      <c r="X14" s="125">
        <f t="shared" si="0"/>
        <v>805.42060294444468</v>
      </c>
    </row>
    <row r="15" spans="1:25" x14ac:dyDescent="0.25">
      <c r="A15" s="44" t="s">
        <v>67</v>
      </c>
      <c r="B15" s="33" t="s">
        <v>40</v>
      </c>
      <c r="C15" s="101"/>
      <c r="D15" s="101"/>
      <c r="E15" s="101"/>
      <c r="F15" s="101"/>
      <c r="G15" s="101"/>
      <c r="H15" s="101"/>
      <c r="I15" s="101"/>
      <c r="J15" s="101"/>
      <c r="K15" s="101"/>
      <c r="L15" s="101"/>
      <c r="M15" s="101"/>
      <c r="N15" s="101"/>
      <c r="O15" s="101"/>
      <c r="P15" s="101"/>
      <c r="Q15" s="101"/>
      <c r="R15" s="101"/>
      <c r="S15" s="101"/>
      <c r="T15" s="101"/>
      <c r="U15" s="101"/>
      <c r="V15" s="101"/>
      <c r="W15" s="2"/>
      <c r="X15" s="125" t="str">
        <f t="shared" si="0"/>
        <v>-</v>
      </c>
    </row>
    <row r="16" spans="1:25" x14ac:dyDescent="0.25">
      <c r="A16" s="44" t="s">
        <v>68</v>
      </c>
      <c r="B16" s="33" t="s">
        <v>40</v>
      </c>
      <c r="C16" s="101"/>
      <c r="D16" s="101"/>
      <c r="E16" s="101"/>
      <c r="F16" s="101"/>
      <c r="G16" s="101"/>
      <c r="H16" s="101"/>
      <c r="I16" s="101"/>
      <c r="J16" s="101"/>
      <c r="K16" s="101"/>
      <c r="L16" s="101"/>
      <c r="M16" s="101"/>
      <c r="N16" s="101"/>
      <c r="O16" s="101"/>
      <c r="P16" s="101"/>
      <c r="Q16" s="101"/>
      <c r="R16" s="101"/>
      <c r="S16" s="101"/>
      <c r="T16" s="101"/>
      <c r="U16" s="101"/>
      <c r="V16" s="101"/>
      <c r="W16" s="2"/>
      <c r="X16" s="125" t="str">
        <f t="shared" si="0"/>
        <v>-</v>
      </c>
    </row>
    <row r="17" spans="1:24" x14ac:dyDescent="0.25">
      <c r="A17" s="44" t="s">
        <v>69</v>
      </c>
      <c r="B17" s="33" t="s">
        <v>40</v>
      </c>
      <c r="C17" s="101"/>
      <c r="D17" s="101"/>
      <c r="E17" s="101"/>
      <c r="F17" s="101"/>
      <c r="G17" s="101"/>
      <c r="H17" s="101"/>
      <c r="I17" s="101"/>
      <c r="J17" s="101"/>
      <c r="K17" s="101"/>
      <c r="L17" s="101"/>
      <c r="M17" s="101"/>
      <c r="N17" s="101"/>
      <c r="O17" s="101"/>
      <c r="P17" s="101"/>
      <c r="Q17" s="101"/>
      <c r="R17" s="101"/>
      <c r="S17" s="101"/>
      <c r="T17" s="101"/>
      <c r="U17" s="101"/>
      <c r="V17" s="101"/>
      <c r="W17" s="2"/>
      <c r="X17" s="125" t="str">
        <f t="shared" si="0"/>
        <v>-</v>
      </c>
    </row>
    <row r="18" spans="1:24" x14ac:dyDescent="0.25">
      <c r="A18" s="44" t="s">
        <v>70</v>
      </c>
      <c r="B18" s="33" t="s">
        <v>40</v>
      </c>
      <c r="C18" s="101"/>
      <c r="D18" s="101"/>
      <c r="E18" s="101"/>
      <c r="F18" s="101"/>
      <c r="G18" s="101"/>
      <c r="H18" s="101"/>
      <c r="I18" s="101"/>
      <c r="J18" s="101"/>
      <c r="K18" s="101"/>
      <c r="L18" s="101"/>
      <c r="M18" s="101"/>
      <c r="N18" s="101"/>
      <c r="O18" s="101"/>
      <c r="P18" s="101"/>
      <c r="Q18" s="101"/>
      <c r="R18" s="101"/>
      <c r="S18" s="101"/>
      <c r="T18" s="101"/>
      <c r="U18" s="101"/>
      <c r="V18" s="101"/>
      <c r="W18" s="2"/>
      <c r="X18" s="125" t="str">
        <f t="shared" si="0"/>
        <v>-</v>
      </c>
    </row>
    <row r="19" spans="1:24" x14ac:dyDescent="0.25">
      <c r="A19" s="32" t="s">
        <v>20</v>
      </c>
      <c r="B19" s="33" t="s">
        <v>41</v>
      </c>
      <c r="C19" s="102">
        <v>3121.1464916666664</v>
      </c>
      <c r="D19" s="102">
        <v>3157.8943527777778</v>
      </c>
      <c r="E19" s="102">
        <v>2937.5030555555554</v>
      </c>
      <c r="F19" s="102">
        <v>3137.9728877777775</v>
      </c>
      <c r="G19" s="102">
        <v>3137.9728877777775</v>
      </c>
      <c r="H19" s="102">
        <v>3137.9728877777775</v>
      </c>
      <c r="I19" s="102">
        <v>3137.9728877777775</v>
      </c>
      <c r="J19" s="102">
        <v>3137.9728877777775</v>
      </c>
      <c r="K19" s="102">
        <v>3137.9728877777775</v>
      </c>
      <c r="L19" s="102">
        <v>3137.9728877777775</v>
      </c>
      <c r="M19" s="102">
        <v>3137.9728877777775</v>
      </c>
      <c r="N19" s="102">
        <v>3137.9728877777775</v>
      </c>
      <c r="O19" s="102">
        <v>3137.9728877777775</v>
      </c>
      <c r="P19" s="102">
        <v>3137.9728877777775</v>
      </c>
      <c r="Q19" s="102">
        <v>3137.9728877777775</v>
      </c>
      <c r="R19" s="102">
        <v>3137.9728877777775</v>
      </c>
      <c r="S19" s="102">
        <v>3137.9728877777775</v>
      </c>
      <c r="T19" s="102">
        <v>3137.9728877777775</v>
      </c>
      <c r="U19" s="102">
        <v>3137.9728877777775</v>
      </c>
      <c r="V19" s="102">
        <v>3137.9728877777775</v>
      </c>
      <c r="W19" s="2"/>
      <c r="X19" s="125">
        <f t="shared" si="0"/>
        <v>3128.1041496111093</v>
      </c>
    </row>
    <row r="20" spans="1:24" x14ac:dyDescent="0.25">
      <c r="A20" s="32" t="s">
        <v>21</v>
      </c>
      <c r="B20" s="33" t="s">
        <v>41</v>
      </c>
      <c r="C20" s="102">
        <v>3653.0924999999997</v>
      </c>
      <c r="D20" s="102">
        <v>3468.0533333333337</v>
      </c>
      <c r="E20" s="102">
        <v>3224.0014777777778</v>
      </c>
      <c r="F20" s="102">
        <v>3454.7784394444448</v>
      </c>
      <c r="G20" s="102">
        <v>3454.7784394444448</v>
      </c>
      <c r="H20" s="102">
        <v>3454.7784394444448</v>
      </c>
      <c r="I20" s="102">
        <v>3454.7784394444448</v>
      </c>
      <c r="J20" s="102">
        <v>3454.7784394444448</v>
      </c>
      <c r="K20" s="102">
        <v>3454.7784394444448</v>
      </c>
      <c r="L20" s="102">
        <v>3454.7784394444448</v>
      </c>
      <c r="M20" s="102">
        <v>3454.7784394444448</v>
      </c>
      <c r="N20" s="102">
        <v>3454.7784394444448</v>
      </c>
      <c r="O20" s="102">
        <v>3454.7784394444448</v>
      </c>
      <c r="P20" s="102">
        <v>3454.7784394444448</v>
      </c>
      <c r="Q20" s="102">
        <v>3454.7784394444448</v>
      </c>
      <c r="R20" s="102">
        <v>3454.7784394444448</v>
      </c>
      <c r="S20" s="102">
        <v>3454.7784394444448</v>
      </c>
      <c r="T20" s="102">
        <v>3454.7784394444448</v>
      </c>
      <c r="U20" s="102">
        <v>3454.7784394444448</v>
      </c>
      <c r="V20" s="102">
        <v>3454.7784394444448</v>
      </c>
      <c r="W20" s="2"/>
      <c r="X20" s="125">
        <f t="shared" si="0"/>
        <v>3453.8190390833342</v>
      </c>
    </row>
    <row r="21" spans="1:24" x14ac:dyDescent="0.25">
      <c r="A21" s="32" t="s">
        <v>24</v>
      </c>
      <c r="B21" s="45" t="s">
        <v>42</v>
      </c>
      <c r="C21" s="101"/>
      <c r="D21" s="101"/>
      <c r="E21" s="101"/>
      <c r="F21" s="101"/>
      <c r="G21" s="101"/>
      <c r="H21" s="101"/>
      <c r="I21" s="101"/>
      <c r="J21" s="101"/>
      <c r="K21" s="101"/>
      <c r="L21" s="101"/>
      <c r="M21" s="101"/>
      <c r="N21" s="101"/>
      <c r="O21" s="101"/>
      <c r="P21" s="101"/>
      <c r="Q21" s="101"/>
      <c r="R21" s="101"/>
      <c r="S21" s="101"/>
      <c r="T21" s="101"/>
      <c r="U21" s="101"/>
      <c r="V21" s="101"/>
      <c r="W21" s="2"/>
      <c r="X21" s="125" t="str">
        <f t="shared" si="0"/>
        <v>-</v>
      </c>
    </row>
    <row r="22" spans="1:24" x14ac:dyDescent="0.25">
      <c r="A22" s="32" t="s">
        <v>57</v>
      </c>
      <c r="B22" s="33" t="s">
        <v>41</v>
      </c>
      <c r="C22" s="101"/>
      <c r="D22" s="101"/>
      <c r="E22" s="101"/>
      <c r="F22" s="101"/>
      <c r="G22" s="101"/>
      <c r="H22" s="101"/>
      <c r="I22" s="101"/>
      <c r="J22" s="101"/>
      <c r="K22" s="101"/>
      <c r="L22" s="101"/>
      <c r="M22" s="101"/>
      <c r="N22" s="101"/>
      <c r="O22" s="101"/>
      <c r="P22" s="101"/>
      <c r="Q22" s="101"/>
      <c r="R22" s="101"/>
      <c r="S22" s="101"/>
      <c r="T22" s="101"/>
      <c r="U22" s="101"/>
      <c r="V22" s="101"/>
      <c r="W22" s="2"/>
      <c r="X22" s="125" t="str">
        <f t="shared" si="0"/>
        <v>-</v>
      </c>
    </row>
    <row r="23" spans="1:24" x14ac:dyDescent="0.25">
      <c r="A23" s="32" t="s">
        <v>22</v>
      </c>
      <c r="B23" s="33" t="s">
        <v>41</v>
      </c>
      <c r="C23" s="101">
        <v>21.986611111111113</v>
      </c>
      <c r="D23" s="101">
        <v>1.1333333333333333</v>
      </c>
      <c r="E23" s="101">
        <v>3.7333333333333334</v>
      </c>
      <c r="F23" s="101">
        <v>23.303841111111115</v>
      </c>
      <c r="G23" s="101">
        <v>23.303841111111115</v>
      </c>
      <c r="H23" s="101">
        <v>23.303841111111115</v>
      </c>
      <c r="I23" s="101">
        <v>23.303841111111115</v>
      </c>
      <c r="J23" s="101">
        <v>23.303841111111115</v>
      </c>
      <c r="K23" s="101">
        <v>23.303841111111115</v>
      </c>
      <c r="L23" s="101">
        <v>23.303841111111115</v>
      </c>
      <c r="M23" s="101">
        <v>23.303841111111115</v>
      </c>
      <c r="N23" s="101">
        <v>23.303841111111115</v>
      </c>
      <c r="O23" s="101">
        <v>23.303841111111115</v>
      </c>
      <c r="P23" s="101">
        <v>23.303841111111115</v>
      </c>
      <c r="Q23" s="101">
        <v>23.303841111111115</v>
      </c>
      <c r="R23" s="101">
        <v>23.303841111111115</v>
      </c>
      <c r="S23" s="101">
        <v>23.303841111111115</v>
      </c>
      <c r="T23" s="101">
        <v>23.303841111111115</v>
      </c>
      <c r="U23" s="101">
        <v>23.303841111111115</v>
      </c>
      <c r="V23" s="101">
        <v>23.303841111111115</v>
      </c>
      <c r="W23" s="2"/>
      <c r="X23" s="125">
        <f t="shared" si="0"/>
        <v>21.150928833333342</v>
      </c>
    </row>
    <row r="24" spans="1:24" s="63" customFormat="1" x14ac:dyDescent="0.25">
      <c r="A24" s="103" t="s">
        <v>23</v>
      </c>
      <c r="B24" s="104" t="s">
        <v>43</v>
      </c>
      <c r="C24" s="105">
        <v>7757.52</v>
      </c>
      <c r="D24" s="105">
        <v>7884.0724999999993</v>
      </c>
      <c r="E24" s="105">
        <v>7411.0455555555554</v>
      </c>
      <c r="F24" s="105">
        <v>7749.4853583333334</v>
      </c>
      <c r="G24" s="105">
        <v>7749.4853583333334</v>
      </c>
      <c r="H24" s="105">
        <v>7749.4853583333334</v>
      </c>
      <c r="I24" s="105">
        <v>7749.4853583333334</v>
      </c>
      <c r="J24" s="105">
        <v>7749.4853583333334</v>
      </c>
      <c r="K24" s="105">
        <v>7749.4853583333334</v>
      </c>
      <c r="L24" s="105">
        <v>7749.4853583333334</v>
      </c>
      <c r="M24" s="105">
        <v>7749.4853583333334</v>
      </c>
      <c r="N24" s="105">
        <v>7749.4853583333334</v>
      </c>
      <c r="O24" s="105">
        <v>7749.4853583333334</v>
      </c>
      <c r="P24" s="105">
        <v>7749.4853583333334</v>
      </c>
      <c r="Q24" s="105">
        <v>7749.4853583333334</v>
      </c>
      <c r="R24" s="105">
        <v>7749.4853583333334</v>
      </c>
      <c r="S24" s="105">
        <v>7749.4853583333334</v>
      </c>
      <c r="T24" s="105">
        <v>7749.4853583333334</v>
      </c>
      <c r="U24" s="105">
        <v>7749.4853583333334</v>
      </c>
      <c r="V24" s="105">
        <v>7749.4853583333334</v>
      </c>
      <c r="W24" s="2"/>
      <c r="X24" s="125">
        <f t="shared" si="0"/>
        <v>7739.6944573611108</v>
      </c>
    </row>
    <row r="25" spans="1:24" x14ac:dyDescent="0.25">
      <c r="A25" s="32" t="s">
        <v>25</v>
      </c>
      <c r="B25" s="33" t="s">
        <v>44</v>
      </c>
      <c r="C25" s="101"/>
      <c r="D25" s="101"/>
      <c r="E25" s="101"/>
      <c r="F25" s="101"/>
      <c r="G25" s="101"/>
      <c r="H25" s="101"/>
      <c r="I25" s="101"/>
      <c r="J25" s="101"/>
      <c r="K25" s="101"/>
      <c r="L25" s="101"/>
      <c r="M25" s="101"/>
      <c r="N25" s="101"/>
      <c r="O25" s="101"/>
      <c r="P25" s="101"/>
      <c r="Q25" s="101"/>
      <c r="R25" s="101"/>
      <c r="S25" s="101"/>
      <c r="T25" s="101"/>
      <c r="U25" s="101"/>
      <c r="V25" s="101"/>
      <c r="W25" s="2"/>
      <c r="X25" s="125" t="str">
        <f t="shared" si="0"/>
        <v>-</v>
      </c>
    </row>
    <row r="26" spans="1:24" x14ac:dyDescent="0.25">
      <c r="A26" s="32" t="s">
        <v>58</v>
      </c>
      <c r="B26" s="33" t="s">
        <v>41</v>
      </c>
      <c r="C26" s="101"/>
      <c r="D26" s="101"/>
      <c r="E26" s="101"/>
      <c r="F26" s="101"/>
      <c r="G26" s="101"/>
      <c r="H26" s="101"/>
      <c r="I26" s="101"/>
      <c r="J26" s="101"/>
      <c r="K26" s="101"/>
      <c r="L26" s="101"/>
      <c r="M26" s="101"/>
      <c r="N26" s="101"/>
      <c r="O26" s="101"/>
      <c r="P26" s="101"/>
      <c r="Q26" s="101"/>
      <c r="R26" s="101"/>
      <c r="S26" s="101"/>
      <c r="T26" s="101"/>
      <c r="U26" s="101"/>
      <c r="V26" s="101"/>
      <c r="W26" s="2"/>
      <c r="X26" s="125" t="str">
        <f t="shared" si="0"/>
        <v>-</v>
      </c>
    </row>
    <row r="27" spans="1:24" x14ac:dyDescent="0.25">
      <c r="A27" s="32" t="s">
        <v>59</v>
      </c>
      <c r="B27" s="33" t="s">
        <v>41</v>
      </c>
      <c r="C27" s="101"/>
      <c r="D27" s="101"/>
      <c r="E27" s="101"/>
      <c r="F27" s="101"/>
      <c r="G27" s="101"/>
      <c r="H27" s="101"/>
      <c r="I27" s="101"/>
      <c r="J27" s="101"/>
      <c r="K27" s="101"/>
      <c r="L27" s="101"/>
      <c r="M27" s="101"/>
      <c r="N27" s="101"/>
      <c r="O27" s="101"/>
      <c r="P27" s="101"/>
      <c r="Q27" s="101"/>
      <c r="R27" s="101"/>
      <c r="S27" s="101"/>
      <c r="T27" s="101"/>
      <c r="U27" s="101"/>
      <c r="V27" s="101"/>
      <c r="W27" s="2"/>
      <c r="X27" s="125" t="str">
        <f t="shared" si="0"/>
        <v>-</v>
      </c>
    </row>
    <row r="28" spans="1:24" x14ac:dyDescent="0.25">
      <c r="A28" s="32" t="s">
        <v>60</v>
      </c>
      <c r="B28" s="33" t="s">
        <v>41</v>
      </c>
      <c r="C28" s="101"/>
      <c r="D28" s="101"/>
      <c r="E28" s="101"/>
      <c r="F28" s="101"/>
      <c r="G28" s="101"/>
      <c r="H28" s="101"/>
      <c r="I28" s="101"/>
      <c r="J28" s="101"/>
      <c r="K28" s="101"/>
      <c r="L28" s="101"/>
      <c r="M28" s="101"/>
      <c r="N28" s="101"/>
      <c r="O28" s="101"/>
      <c r="P28" s="101"/>
      <c r="Q28" s="101"/>
      <c r="R28" s="101"/>
      <c r="S28" s="101"/>
      <c r="T28" s="101"/>
      <c r="U28" s="101"/>
      <c r="V28" s="101"/>
      <c r="W28" s="2"/>
      <c r="X28" s="125" t="str">
        <f t="shared" si="0"/>
        <v>-</v>
      </c>
    </row>
    <row r="29" spans="1:24" x14ac:dyDescent="0.25">
      <c r="A29" s="32" t="s">
        <v>26</v>
      </c>
      <c r="B29" s="40" t="s">
        <v>45</v>
      </c>
      <c r="C29" s="101"/>
      <c r="D29" s="101"/>
      <c r="E29" s="101"/>
      <c r="F29" s="101"/>
      <c r="G29" s="101"/>
      <c r="H29" s="101"/>
      <c r="I29" s="101"/>
      <c r="J29" s="101"/>
      <c r="K29" s="101"/>
      <c r="L29" s="101"/>
      <c r="M29" s="101"/>
      <c r="N29" s="101"/>
      <c r="O29" s="101"/>
      <c r="P29" s="101"/>
      <c r="Q29" s="101"/>
      <c r="R29" s="101"/>
      <c r="S29" s="101"/>
      <c r="T29" s="101"/>
      <c r="U29" s="101"/>
      <c r="V29" s="101"/>
      <c r="W29" s="2"/>
      <c r="X29" s="125" t="str">
        <f t="shared" si="0"/>
        <v>-</v>
      </c>
    </row>
    <row r="30" spans="1:24" x14ac:dyDescent="0.25">
      <c r="A30" s="32" t="s">
        <v>61</v>
      </c>
      <c r="B30" s="40" t="s">
        <v>42</v>
      </c>
      <c r="C30" s="101"/>
      <c r="D30" s="101"/>
      <c r="E30" s="101"/>
      <c r="F30" s="101"/>
      <c r="G30" s="101"/>
      <c r="H30" s="101"/>
      <c r="I30" s="101"/>
      <c r="J30" s="101"/>
      <c r="K30" s="101"/>
      <c r="L30" s="101"/>
      <c r="M30" s="101"/>
      <c r="N30" s="101"/>
      <c r="O30" s="101"/>
      <c r="P30" s="101"/>
      <c r="Q30" s="101"/>
      <c r="R30" s="101"/>
      <c r="S30" s="101"/>
      <c r="T30" s="101"/>
      <c r="U30" s="101"/>
      <c r="V30" s="101"/>
      <c r="W30" s="2"/>
      <c r="X30" s="125" t="str">
        <f t="shared" si="0"/>
        <v>-</v>
      </c>
    </row>
    <row r="31" spans="1:24" x14ac:dyDescent="0.25">
      <c r="A31" s="32" t="s">
        <v>71</v>
      </c>
      <c r="B31" s="33" t="s">
        <v>40</v>
      </c>
      <c r="C31" s="101">
        <v>221.29177222222222</v>
      </c>
      <c r="D31" s="101">
        <v>244.03194444444446</v>
      </c>
      <c r="E31" s="101">
        <v>248.09916666666669</v>
      </c>
      <c r="F31" s="101">
        <v>251.81902111111111</v>
      </c>
      <c r="G31" s="101">
        <v>251.81902111111111</v>
      </c>
      <c r="H31" s="101">
        <v>251.81902111111111</v>
      </c>
      <c r="I31" s="101">
        <v>251.81902111111111</v>
      </c>
      <c r="J31" s="101">
        <v>251.81902111111111</v>
      </c>
      <c r="K31" s="101">
        <v>251.81902111111111</v>
      </c>
      <c r="L31" s="101">
        <v>251.81902111111111</v>
      </c>
      <c r="M31" s="101">
        <v>251.81902111111111</v>
      </c>
      <c r="N31" s="101">
        <v>251.81902111111111</v>
      </c>
      <c r="O31" s="101">
        <v>251.81902111111111</v>
      </c>
      <c r="P31" s="101">
        <v>251.81902111111111</v>
      </c>
      <c r="Q31" s="101">
        <v>251.81902111111111</v>
      </c>
      <c r="R31" s="101">
        <v>251.81902111111111</v>
      </c>
      <c r="S31" s="101">
        <v>251.81902111111111</v>
      </c>
      <c r="T31" s="101">
        <v>251.81902111111111</v>
      </c>
      <c r="U31" s="101">
        <v>251.81902111111111</v>
      </c>
      <c r="V31" s="101">
        <v>251.81902111111111</v>
      </c>
      <c r="W31" s="2"/>
      <c r="X31" s="125">
        <f t="shared" si="0"/>
        <v>249.71731211111108</v>
      </c>
    </row>
    <row r="32" spans="1:24" x14ac:dyDescent="0.25">
      <c r="A32" s="32" t="s">
        <v>27</v>
      </c>
      <c r="B32" s="40" t="s">
        <v>45</v>
      </c>
      <c r="C32" s="101">
        <v>64.996111111111119</v>
      </c>
      <c r="D32" s="101">
        <v>0</v>
      </c>
      <c r="E32" s="101">
        <v>0</v>
      </c>
      <c r="F32" s="101">
        <v>111.85489222222222</v>
      </c>
      <c r="G32" s="101">
        <v>111.85489222222222</v>
      </c>
      <c r="H32" s="101">
        <v>111.85489222222222</v>
      </c>
      <c r="I32" s="101">
        <v>111.85489222222222</v>
      </c>
      <c r="J32" s="101">
        <v>111.85489222222222</v>
      </c>
      <c r="K32" s="101">
        <v>111.85489222222222</v>
      </c>
      <c r="L32" s="101">
        <v>111.85489222222222</v>
      </c>
      <c r="M32" s="101">
        <v>111.85489222222222</v>
      </c>
      <c r="N32" s="101">
        <v>111.85489222222222</v>
      </c>
      <c r="O32" s="101">
        <v>111.85489222222222</v>
      </c>
      <c r="P32" s="101">
        <v>111.85489222222222</v>
      </c>
      <c r="Q32" s="101">
        <v>111.85489222222222</v>
      </c>
      <c r="R32" s="101">
        <v>111.85489222222222</v>
      </c>
      <c r="S32" s="101">
        <v>111.85489222222222</v>
      </c>
      <c r="T32" s="101">
        <v>111.85489222222222</v>
      </c>
      <c r="U32" s="101">
        <v>111.85489222222222</v>
      </c>
      <c r="V32" s="101">
        <v>111.85489222222222</v>
      </c>
      <c r="W32" s="2"/>
      <c r="X32" s="125">
        <f t="shared" si="0"/>
        <v>98.326463944444413</v>
      </c>
    </row>
    <row r="33" spans="1:24" x14ac:dyDescent="0.25">
      <c r="A33" s="32" t="s">
        <v>39</v>
      </c>
      <c r="B33" s="33" t="s">
        <v>41</v>
      </c>
      <c r="C33" s="101">
        <v>575.81194444444441</v>
      </c>
      <c r="D33" s="101">
        <v>580.59861111111104</v>
      </c>
      <c r="E33" s="101">
        <v>499.24888888888893</v>
      </c>
      <c r="F33" s="101">
        <v>565.82727777777768</v>
      </c>
      <c r="G33" s="101">
        <v>565.82727777777768</v>
      </c>
      <c r="H33" s="101">
        <v>565.82727777777768</v>
      </c>
      <c r="I33" s="101">
        <v>565.82727777777768</v>
      </c>
      <c r="J33" s="101">
        <v>565.82727777777768</v>
      </c>
      <c r="K33" s="101">
        <v>565.82727777777768</v>
      </c>
      <c r="L33" s="101">
        <v>565.82727777777768</v>
      </c>
      <c r="M33" s="101">
        <v>565.82727777777768</v>
      </c>
      <c r="N33" s="101">
        <v>565.82727777777768</v>
      </c>
      <c r="O33" s="101">
        <v>565.82727777777768</v>
      </c>
      <c r="P33" s="101">
        <v>565.82727777777768</v>
      </c>
      <c r="Q33" s="101">
        <v>565.82727777777768</v>
      </c>
      <c r="R33" s="101">
        <v>565.82727777777768</v>
      </c>
      <c r="S33" s="101">
        <v>565.82727777777768</v>
      </c>
      <c r="T33" s="101">
        <v>565.82727777777768</v>
      </c>
      <c r="U33" s="101">
        <v>565.82727777777768</v>
      </c>
      <c r="V33" s="101">
        <v>565.82727777777768</v>
      </c>
      <c r="W33" s="2"/>
      <c r="X33" s="125">
        <f t="shared" si="0"/>
        <v>563.73615833333338</v>
      </c>
    </row>
    <row r="34" spans="1:24" x14ac:dyDescent="0.25">
      <c r="A34" s="32" t="s">
        <v>28</v>
      </c>
      <c r="B34" s="32"/>
      <c r="C34" s="101"/>
      <c r="D34" s="101"/>
      <c r="E34" s="101"/>
      <c r="F34" s="101"/>
      <c r="G34" s="101"/>
      <c r="H34" s="101"/>
      <c r="I34" s="101"/>
      <c r="J34" s="101"/>
      <c r="K34" s="101"/>
      <c r="L34" s="101"/>
      <c r="M34" s="101"/>
      <c r="N34" s="101"/>
      <c r="O34" s="101"/>
      <c r="P34" s="101"/>
      <c r="Q34" s="101"/>
      <c r="R34" s="101"/>
      <c r="S34" s="101"/>
      <c r="T34" s="101"/>
      <c r="U34" s="101"/>
      <c r="V34" s="101"/>
      <c r="W34" s="2"/>
      <c r="X34" s="125" t="str">
        <f t="shared" si="0"/>
        <v>-</v>
      </c>
    </row>
    <row r="35" spans="1:24" x14ac:dyDescent="0.25">
      <c r="A35" s="32" t="s">
        <v>62</v>
      </c>
      <c r="B35" s="33" t="s">
        <v>41</v>
      </c>
      <c r="C35" s="101">
        <v>64.579722222222216</v>
      </c>
      <c r="D35" s="101">
        <v>56.487941666666664</v>
      </c>
      <c r="E35" s="101">
        <v>49.259444444444441</v>
      </c>
      <c r="F35" s="101">
        <v>60.035777777777774</v>
      </c>
      <c r="G35" s="101">
        <v>60.035777777777774</v>
      </c>
      <c r="H35" s="101">
        <v>60.035777777777774</v>
      </c>
      <c r="I35" s="101">
        <v>60.035777777777774</v>
      </c>
      <c r="J35" s="101">
        <v>60.035777777777774</v>
      </c>
      <c r="K35" s="101">
        <v>60.035777777777774</v>
      </c>
      <c r="L35" s="101">
        <v>60.035777777777774</v>
      </c>
      <c r="M35" s="101">
        <v>60.035777777777774</v>
      </c>
      <c r="N35" s="101">
        <v>60.035777777777774</v>
      </c>
      <c r="O35" s="101">
        <v>60.035777777777774</v>
      </c>
      <c r="P35" s="101">
        <v>60.035777777777774</v>
      </c>
      <c r="Q35" s="101">
        <v>60.035777777777774</v>
      </c>
      <c r="R35" s="101">
        <v>60.035777777777774</v>
      </c>
      <c r="S35" s="101">
        <v>60.035777777777774</v>
      </c>
      <c r="T35" s="101">
        <v>60.035777777777774</v>
      </c>
      <c r="U35" s="101">
        <v>60.035777777777774</v>
      </c>
      <c r="V35" s="101">
        <v>60.035777777777774</v>
      </c>
      <c r="W35" s="2"/>
      <c r="X35" s="125">
        <f t="shared" si="0"/>
        <v>59.546766527777777</v>
      </c>
    </row>
    <row r="36" spans="1:24" x14ac:dyDescent="0.25">
      <c r="A36" s="32" t="s">
        <v>29</v>
      </c>
      <c r="B36" s="33" t="s">
        <v>41</v>
      </c>
      <c r="C36" s="101"/>
      <c r="D36" s="101"/>
      <c r="E36" s="101"/>
      <c r="F36" s="101"/>
      <c r="G36" s="101"/>
      <c r="H36" s="101"/>
      <c r="I36" s="101"/>
      <c r="J36" s="101"/>
      <c r="K36" s="101"/>
      <c r="L36" s="101"/>
      <c r="M36" s="101"/>
      <c r="N36" s="101"/>
      <c r="O36" s="101"/>
      <c r="P36" s="101"/>
      <c r="Q36" s="101"/>
      <c r="R36" s="101"/>
      <c r="S36" s="101"/>
      <c r="T36" s="101"/>
      <c r="U36" s="101"/>
      <c r="V36" s="101"/>
      <c r="W36" s="2"/>
      <c r="X36" s="125" t="str">
        <f t="shared" si="0"/>
        <v>-</v>
      </c>
    </row>
    <row r="37" spans="1:24" x14ac:dyDescent="0.25">
      <c r="A37" s="32" t="s">
        <v>30</v>
      </c>
      <c r="B37" s="104" t="s">
        <v>43</v>
      </c>
      <c r="C37" s="101"/>
      <c r="D37" s="101"/>
      <c r="E37" s="101"/>
      <c r="F37" s="101"/>
      <c r="G37" s="101"/>
      <c r="H37" s="101"/>
      <c r="I37" s="101"/>
      <c r="J37" s="101"/>
      <c r="K37" s="101"/>
      <c r="L37" s="101"/>
      <c r="M37" s="101"/>
      <c r="N37" s="101"/>
      <c r="O37" s="101"/>
      <c r="P37" s="101"/>
      <c r="Q37" s="101"/>
      <c r="R37" s="101"/>
      <c r="S37" s="101"/>
      <c r="T37" s="101"/>
      <c r="U37" s="101"/>
      <c r="V37" s="101"/>
      <c r="W37" s="2"/>
      <c r="X37" s="125" t="str">
        <f t="shared" si="0"/>
        <v>-</v>
      </c>
    </row>
    <row r="38" spans="1:24" x14ac:dyDescent="0.25">
      <c r="A38" s="32" t="s">
        <v>31</v>
      </c>
      <c r="B38" s="41" t="s">
        <v>48</v>
      </c>
      <c r="C38" s="101"/>
      <c r="D38" s="101"/>
      <c r="E38" s="101"/>
      <c r="F38" s="101"/>
      <c r="G38" s="101"/>
      <c r="H38" s="101"/>
      <c r="I38" s="101"/>
      <c r="J38" s="101"/>
      <c r="K38" s="101"/>
      <c r="L38" s="101"/>
      <c r="M38" s="101"/>
      <c r="N38" s="101"/>
      <c r="O38" s="101"/>
      <c r="P38" s="101"/>
      <c r="Q38" s="101"/>
      <c r="R38" s="101"/>
      <c r="S38" s="101"/>
      <c r="T38" s="101"/>
      <c r="U38" s="101"/>
      <c r="V38" s="101"/>
      <c r="W38" s="2"/>
      <c r="X38" s="125" t="str">
        <f t="shared" si="0"/>
        <v>-</v>
      </c>
    </row>
    <row r="39" spans="1:24" x14ac:dyDescent="0.25">
      <c r="A39" s="32" t="s">
        <v>32</v>
      </c>
      <c r="B39" s="41" t="s">
        <v>48</v>
      </c>
      <c r="C39" s="101"/>
      <c r="D39" s="101"/>
      <c r="E39" s="101"/>
      <c r="F39" s="101"/>
      <c r="G39" s="101"/>
      <c r="H39" s="101"/>
      <c r="I39" s="101"/>
      <c r="J39" s="101"/>
      <c r="K39" s="101"/>
      <c r="L39" s="101"/>
      <c r="M39" s="101"/>
      <c r="N39" s="101"/>
      <c r="O39" s="101"/>
      <c r="P39" s="101"/>
      <c r="Q39" s="101"/>
      <c r="R39" s="101"/>
      <c r="S39" s="101"/>
      <c r="T39" s="101"/>
      <c r="U39" s="101"/>
      <c r="V39" s="101"/>
      <c r="W39" s="2"/>
      <c r="X39" s="125" t="str">
        <f t="shared" si="0"/>
        <v>-</v>
      </c>
    </row>
    <row r="40" spans="1:24" x14ac:dyDescent="0.25">
      <c r="A40" s="32" t="s">
        <v>33</v>
      </c>
      <c r="B40" s="33" t="s">
        <v>41</v>
      </c>
      <c r="C40" s="101">
        <v>0</v>
      </c>
      <c r="D40" s="101">
        <v>0</v>
      </c>
      <c r="E40" s="101">
        <v>0</v>
      </c>
      <c r="F40" s="101">
        <v>1368.9678622222223</v>
      </c>
      <c r="G40" s="101">
        <v>1368.9678622222223</v>
      </c>
      <c r="H40" s="101">
        <v>1368.9678622222223</v>
      </c>
      <c r="I40" s="101">
        <v>1368.9678622222223</v>
      </c>
      <c r="J40" s="101">
        <v>1368.9678622222223</v>
      </c>
      <c r="K40" s="101">
        <v>1368.9678622222223</v>
      </c>
      <c r="L40" s="101">
        <v>1368.9678622222223</v>
      </c>
      <c r="M40" s="101">
        <v>1368.9678622222223</v>
      </c>
      <c r="N40" s="101">
        <v>1368.9678622222223</v>
      </c>
      <c r="O40" s="101">
        <v>1368.9678622222223</v>
      </c>
      <c r="P40" s="101">
        <v>1368.9678622222223</v>
      </c>
      <c r="Q40" s="101">
        <v>1368.9678622222223</v>
      </c>
      <c r="R40" s="101">
        <v>1368.9678622222223</v>
      </c>
      <c r="S40" s="101">
        <v>1368.9678622222223</v>
      </c>
      <c r="T40" s="101">
        <v>1368.9678622222223</v>
      </c>
      <c r="U40" s="101">
        <v>1368.9678622222223</v>
      </c>
      <c r="V40" s="101">
        <v>1368.9678622222223</v>
      </c>
      <c r="W40" s="2"/>
      <c r="X40" s="125">
        <f t="shared" si="0"/>
        <v>1163.6226828888891</v>
      </c>
    </row>
    <row r="41" spans="1:24" x14ac:dyDescent="0.25">
      <c r="A41" s="32" t="s">
        <v>34</v>
      </c>
      <c r="B41" s="40" t="s">
        <v>45</v>
      </c>
      <c r="C41" s="101">
        <v>1321.6547222222223</v>
      </c>
      <c r="D41" s="101">
        <v>1450.1822222222222</v>
      </c>
      <c r="E41" s="101">
        <v>1386.2452777777776</v>
      </c>
      <c r="F41" s="101">
        <v>1393.7255555555555</v>
      </c>
      <c r="G41" s="101">
        <v>1393.7255555555555</v>
      </c>
      <c r="H41" s="101">
        <v>1393.7255555555555</v>
      </c>
      <c r="I41" s="101">
        <v>1393.7255555555555</v>
      </c>
      <c r="J41" s="101">
        <v>1393.7255555555555</v>
      </c>
      <c r="K41" s="101">
        <v>1393.7255555555555</v>
      </c>
      <c r="L41" s="101">
        <v>1393.7255555555555</v>
      </c>
      <c r="M41" s="101">
        <v>1393.7255555555555</v>
      </c>
      <c r="N41" s="101">
        <v>1393.7255555555555</v>
      </c>
      <c r="O41" s="101">
        <v>1393.7255555555555</v>
      </c>
      <c r="P41" s="101">
        <v>1393.7255555555555</v>
      </c>
      <c r="Q41" s="101">
        <v>1393.7255555555555</v>
      </c>
      <c r="R41" s="101">
        <v>1393.7255555555555</v>
      </c>
      <c r="S41" s="101">
        <v>1393.7255555555555</v>
      </c>
      <c r="T41" s="101">
        <v>1393.7255555555555</v>
      </c>
      <c r="U41" s="101">
        <v>1393.7255555555555</v>
      </c>
      <c r="V41" s="101">
        <v>1393.7255555555555</v>
      </c>
      <c r="W41" s="2"/>
      <c r="X41" s="125">
        <f t="shared" si="0"/>
        <v>1392.5708333333337</v>
      </c>
    </row>
    <row r="42" spans="1:24" x14ac:dyDescent="0.25">
      <c r="A42" s="32" t="s">
        <v>63</v>
      </c>
      <c r="B42" s="40" t="s">
        <v>43</v>
      </c>
      <c r="C42" s="101"/>
      <c r="D42" s="101"/>
      <c r="E42" s="101"/>
      <c r="F42" s="101"/>
      <c r="G42" s="101"/>
      <c r="H42" s="101"/>
      <c r="I42" s="101"/>
      <c r="J42" s="101"/>
      <c r="K42" s="101"/>
      <c r="L42" s="101"/>
      <c r="M42" s="101"/>
      <c r="N42" s="101"/>
      <c r="O42" s="101"/>
      <c r="P42" s="101"/>
      <c r="Q42" s="101"/>
      <c r="R42" s="101"/>
      <c r="S42" s="101"/>
      <c r="T42" s="101"/>
      <c r="U42" s="101"/>
      <c r="V42" s="101"/>
      <c r="W42" s="2"/>
      <c r="X42" s="125" t="str">
        <f t="shared" si="0"/>
        <v>-</v>
      </c>
    </row>
    <row r="43" spans="1:24" x14ac:dyDescent="0.25">
      <c r="A43" s="32" t="s">
        <v>64</v>
      </c>
      <c r="B43" s="33" t="s">
        <v>46</v>
      </c>
      <c r="C43" s="101"/>
      <c r="D43" s="101"/>
      <c r="E43" s="101"/>
      <c r="F43" s="101"/>
      <c r="G43" s="101"/>
      <c r="H43" s="101"/>
      <c r="I43" s="101"/>
      <c r="J43" s="101"/>
      <c r="K43" s="101"/>
      <c r="L43" s="101"/>
      <c r="M43" s="101"/>
      <c r="N43" s="101"/>
      <c r="O43" s="101"/>
      <c r="P43" s="101"/>
      <c r="Q43" s="101"/>
      <c r="R43" s="101"/>
      <c r="S43" s="101"/>
      <c r="T43" s="101"/>
      <c r="U43" s="101"/>
      <c r="V43" s="101"/>
      <c r="W43" s="2"/>
      <c r="X43" s="125" t="str">
        <f t="shared" si="0"/>
        <v>-</v>
      </c>
    </row>
    <row r="44" spans="1:24" x14ac:dyDescent="0.25">
      <c r="A44" s="32" t="s">
        <v>65</v>
      </c>
      <c r="B44" s="33" t="s">
        <v>41</v>
      </c>
      <c r="C44" s="101">
        <v>3017.8666666666668</v>
      </c>
      <c r="D44" s="101">
        <v>3078.4611111111108</v>
      </c>
      <c r="E44" s="101">
        <v>2765.7895222222219</v>
      </c>
      <c r="F44" s="101">
        <v>3000.2460561111111</v>
      </c>
      <c r="G44" s="101">
        <v>3000.2460561111111</v>
      </c>
      <c r="H44" s="101">
        <v>3000.2460561111111</v>
      </c>
      <c r="I44" s="101">
        <v>3000.2460561111111</v>
      </c>
      <c r="J44" s="101">
        <v>3000.2460561111111</v>
      </c>
      <c r="K44" s="101">
        <v>3000.2460561111111</v>
      </c>
      <c r="L44" s="101">
        <v>3000.2460561111111</v>
      </c>
      <c r="M44" s="101">
        <v>3000.2460561111111</v>
      </c>
      <c r="N44" s="101">
        <v>3000.2460561111111</v>
      </c>
      <c r="O44" s="101">
        <v>3000.2460561111111</v>
      </c>
      <c r="P44" s="101">
        <v>3000.2460561111111</v>
      </c>
      <c r="Q44" s="101">
        <v>3000.2460561111111</v>
      </c>
      <c r="R44" s="101">
        <v>3000.2460561111111</v>
      </c>
      <c r="S44" s="101">
        <v>3000.2460561111111</v>
      </c>
      <c r="T44" s="101">
        <v>3000.2460561111111</v>
      </c>
      <c r="U44" s="101">
        <v>3000.2460561111111</v>
      </c>
      <c r="V44" s="101">
        <v>3000.2460561111111</v>
      </c>
      <c r="W44" s="2"/>
      <c r="X44" s="125">
        <f t="shared" si="0"/>
        <v>2993.3150126944429</v>
      </c>
    </row>
    <row r="45" spans="1:24" x14ac:dyDescent="0.25">
      <c r="A45" s="32" t="s">
        <v>35</v>
      </c>
      <c r="B45" s="33" t="s">
        <v>40</v>
      </c>
      <c r="C45" s="101"/>
      <c r="D45" s="101"/>
      <c r="E45" s="101"/>
      <c r="F45" s="101"/>
      <c r="G45" s="101"/>
      <c r="H45" s="101"/>
      <c r="I45" s="101"/>
      <c r="J45" s="101"/>
      <c r="K45" s="101"/>
      <c r="L45" s="101"/>
      <c r="M45" s="101"/>
      <c r="N45" s="101"/>
      <c r="O45" s="101"/>
      <c r="P45" s="101"/>
      <c r="Q45" s="101"/>
      <c r="R45" s="101"/>
      <c r="S45" s="101"/>
      <c r="T45" s="101"/>
      <c r="U45" s="101"/>
      <c r="V45" s="101"/>
      <c r="W45" s="2"/>
      <c r="X45" s="125" t="str">
        <f t="shared" si="0"/>
        <v>-</v>
      </c>
    </row>
    <row r="46" spans="1:24" x14ac:dyDescent="0.25">
      <c r="A46" s="32" t="s">
        <v>36</v>
      </c>
      <c r="B46" s="33" t="s">
        <v>40</v>
      </c>
      <c r="C46" s="101"/>
      <c r="D46" s="101"/>
      <c r="E46" s="101"/>
      <c r="F46" s="101"/>
      <c r="G46" s="101"/>
      <c r="H46" s="101"/>
      <c r="I46" s="101"/>
      <c r="J46" s="101"/>
      <c r="K46" s="101"/>
      <c r="L46" s="101"/>
      <c r="M46" s="101"/>
      <c r="N46" s="101"/>
      <c r="O46" s="101"/>
      <c r="P46" s="101"/>
      <c r="Q46" s="101"/>
      <c r="R46" s="101"/>
      <c r="S46" s="101"/>
      <c r="T46" s="101"/>
      <c r="U46" s="101"/>
      <c r="V46" s="101"/>
      <c r="W46" s="2"/>
      <c r="X46" s="125" t="str">
        <f t="shared" si="0"/>
        <v>-</v>
      </c>
    </row>
    <row r="47" spans="1:24" x14ac:dyDescent="0.25">
      <c r="A47" s="32" t="s">
        <v>37</v>
      </c>
      <c r="B47" s="33" t="s">
        <v>40</v>
      </c>
      <c r="C47" s="101"/>
      <c r="D47" s="101"/>
      <c r="E47" s="101"/>
      <c r="F47" s="101"/>
      <c r="G47" s="101"/>
      <c r="H47" s="101"/>
      <c r="I47" s="101"/>
      <c r="J47" s="101"/>
      <c r="K47" s="101"/>
      <c r="L47" s="101"/>
      <c r="M47" s="101"/>
      <c r="N47" s="101"/>
      <c r="O47" s="101"/>
      <c r="P47" s="101"/>
      <c r="Q47" s="101"/>
      <c r="R47" s="101"/>
      <c r="S47" s="101"/>
      <c r="T47" s="101"/>
      <c r="U47" s="101"/>
      <c r="V47" s="101"/>
      <c r="W47" s="2"/>
      <c r="X47" s="125" t="str">
        <f t="shared" si="0"/>
        <v>-</v>
      </c>
    </row>
    <row r="48" spans="1:24" x14ac:dyDescent="0.25">
      <c r="A48" s="32" t="s">
        <v>38</v>
      </c>
      <c r="B48" s="33" t="s">
        <v>41</v>
      </c>
      <c r="C48" s="101"/>
      <c r="D48" s="101"/>
      <c r="E48" s="101"/>
      <c r="F48" s="101"/>
      <c r="G48" s="101"/>
      <c r="H48" s="101"/>
      <c r="I48" s="101"/>
      <c r="J48" s="101"/>
      <c r="K48" s="101"/>
      <c r="L48" s="101"/>
      <c r="M48" s="101"/>
      <c r="N48" s="101"/>
      <c r="O48" s="101"/>
      <c r="P48" s="101"/>
      <c r="Q48" s="101"/>
      <c r="R48" s="101"/>
      <c r="S48" s="101"/>
      <c r="T48" s="101"/>
      <c r="U48" s="101"/>
      <c r="V48" s="101"/>
      <c r="W48" s="2"/>
      <c r="X48" s="125" t="str">
        <f t="shared" si="0"/>
        <v>-</v>
      </c>
    </row>
    <row r="49" spans="1:24" x14ac:dyDescent="0.25">
      <c r="C49" s="26"/>
      <c r="D49" s="26"/>
      <c r="E49" s="26"/>
      <c r="F49" s="26"/>
      <c r="G49" s="26"/>
      <c r="H49" s="26"/>
      <c r="I49" s="26"/>
      <c r="J49" s="26"/>
      <c r="K49" s="26"/>
      <c r="L49" s="26"/>
      <c r="M49" s="26"/>
      <c r="N49" s="26"/>
      <c r="O49" s="26"/>
      <c r="P49" s="26"/>
      <c r="Q49" s="26"/>
      <c r="R49" s="26"/>
      <c r="S49" s="26"/>
      <c r="T49" s="26"/>
      <c r="U49" s="26"/>
      <c r="V49" s="26"/>
      <c r="X49" s="126"/>
    </row>
    <row r="50" spans="1:24" x14ac:dyDescent="0.25">
      <c r="C50" s="26">
        <f>SUM(C2:C48)</f>
        <v>26456.977183333336</v>
      </c>
      <c r="D50" s="26">
        <f t="shared" ref="D50:V50" si="1">SUM(D2:D48)</f>
        <v>25130.862380555554</v>
      </c>
      <c r="E50" s="26">
        <f t="shared" si="1"/>
        <v>21768.07003333333</v>
      </c>
      <c r="F50" s="26">
        <f t="shared" si="1"/>
        <v>26641.100873333336</v>
      </c>
      <c r="G50" s="26">
        <f t="shared" si="1"/>
        <v>26641.100873333336</v>
      </c>
      <c r="H50" s="26">
        <f t="shared" si="1"/>
        <v>26641.100873333336</v>
      </c>
      <c r="I50" s="26">
        <f t="shared" si="1"/>
        <v>26641.100873333336</v>
      </c>
      <c r="J50" s="26">
        <f t="shared" si="1"/>
        <v>26641.100873333336</v>
      </c>
      <c r="K50" s="26">
        <f t="shared" si="1"/>
        <v>26641.100873333336</v>
      </c>
      <c r="L50" s="26">
        <f t="shared" si="1"/>
        <v>26641.100873333336</v>
      </c>
      <c r="M50" s="26">
        <f t="shared" si="1"/>
        <v>26641.100873333336</v>
      </c>
      <c r="N50" s="26">
        <f t="shared" si="1"/>
        <v>26641.100873333336</v>
      </c>
      <c r="O50" s="26">
        <f t="shared" si="1"/>
        <v>26641.100873333336</v>
      </c>
      <c r="P50" s="26">
        <f t="shared" si="1"/>
        <v>26641.100873333336</v>
      </c>
      <c r="Q50" s="26">
        <f t="shared" si="1"/>
        <v>26641.100873333336</v>
      </c>
      <c r="R50" s="26">
        <f t="shared" si="1"/>
        <v>26641.100873333336</v>
      </c>
      <c r="S50" s="26">
        <f t="shared" si="1"/>
        <v>26641.100873333336</v>
      </c>
      <c r="T50" s="26">
        <f t="shared" si="1"/>
        <v>26641.100873333336</v>
      </c>
      <c r="U50" s="26">
        <f t="shared" si="1"/>
        <v>26641.100873333336</v>
      </c>
      <c r="V50" s="26">
        <f t="shared" si="1"/>
        <v>26641.100873333336</v>
      </c>
      <c r="W50" s="26"/>
      <c r="X50" s="126"/>
    </row>
    <row r="51" spans="1:24" x14ac:dyDescent="0.25">
      <c r="C51" s="26"/>
      <c r="D51" s="26"/>
      <c r="E51" s="26"/>
      <c r="F51" s="26"/>
      <c r="G51" s="26"/>
      <c r="H51" s="26"/>
      <c r="I51" s="26"/>
      <c r="J51" s="26"/>
      <c r="K51" s="26"/>
      <c r="L51" s="26"/>
      <c r="M51" s="26"/>
      <c r="N51" s="26"/>
      <c r="O51" s="26"/>
      <c r="P51" s="26"/>
      <c r="Q51" s="26"/>
      <c r="R51" s="26"/>
      <c r="S51" s="26"/>
      <c r="T51" s="26"/>
      <c r="U51" s="26"/>
      <c r="V51" s="26"/>
    </row>
    <row r="52" spans="1:24" x14ac:dyDescent="0.25">
      <c r="A52" s="2" t="s">
        <v>135</v>
      </c>
      <c r="C52" s="26"/>
      <c r="D52" s="26"/>
      <c r="E52" s="26"/>
      <c r="F52" s="26"/>
      <c r="G52" s="26"/>
      <c r="H52" s="26"/>
      <c r="I52" s="26"/>
      <c r="J52" s="26"/>
      <c r="K52" s="26"/>
      <c r="L52" s="26"/>
      <c r="M52" s="26"/>
      <c r="N52" s="26"/>
      <c r="O52" s="26"/>
      <c r="P52" s="26"/>
      <c r="Q52" s="26"/>
      <c r="R52" s="26"/>
      <c r="S52" s="26"/>
      <c r="T52" s="26"/>
      <c r="U52" s="26"/>
      <c r="V52" s="26"/>
    </row>
    <row r="53" spans="1:24" x14ac:dyDescent="0.25">
      <c r="A53" s="2" t="s">
        <v>141</v>
      </c>
      <c r="C53" s="26"/>
      <c r="D53" s="26"/>
      <c r="E53" s="26"/>
      <c r="F53" s="26"/>
      <c r="G53" s="26"/>
      <c r="H53" s="26"/>
      <c r="I53" s="26"/>
      <c r="J53" s="26"/>
      <c r="K53" s="26"/>
      <c r="L53" s="26"/>
      <c r="M53" s="26"/>
      <c r="N53" s="26"/>
      <c r="O53" s="26"/>
      <c r="P53" s="26"/>
      <c r="Q53" s="26"/>
      <c r="R53" s="26"/>
      <c r="S53" s="26"/>
      <c r="T53" s="26"/>
      <c r="U53" s="26"/>
      <c r="V53" s="26"/>
    </row>
    <row r="54" spans="1:24" ht="15.6" x14ac:dyDescent="0.3">
      <c r="C54" s="124" t="s">
        <v>159</v>
      </c>
    </row>
  </sheetData>
  <autoFilter ref="A1:V48" xr:uid="{3A8DBBC3-2F6E-4F74-9731-6A90B0FA0F89}">
    <sortState xmlns:xlrd2="http://schemas.microsoft.com/office/spreadsheetml/2017/richdata2" ref="A2:V48">
      <sortCondition ref="A1:A48"/>
    </sortState>
  </autoFilter>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19DC0C-B41A-45B2-A140-C306D3971347}">
  <sheetPr codeName="Sheet9">
    <tabColor rgb="FFFFFF00"/>
  </sheetPr>
  <dimension ref="A1:V60"/>
  <sheetViews>
    <sheetView zoomScaleNormal="100" workbookViewId="0">
      <selection activeCell="E4" sqref="E4"/>
    </sheetView>
  </sheetViews>
  <sheetFormatPr defaultRowHeight="14.4" x14ac:dyDescent="0.3"/>
  <cols>
    <col min="1" max="1" width="18.33203125" style="35" customWidth="1"/>
    <col min="2" max="2" width="53.88671875" style="35" customWidth="1"/>
    <col min="3" max="22" width="9.44140625" style="55" customWidth="1"/>
    <col min="23" max="16384" width="8.88671875" style="35"/>
  </cols>
  <sheetData>
    <row r="1" spans="1:22" s="11" customFormat="1" ht="13.8" x14ac:dyDescent="0.25">
      <c r="A1" s="30" t="s">
        <v>16</v>
      </c>
      <c r="B1" s="30" t="s">
        <v>82</v>
      </c>
      <c r="C1" s="78">
        <v>2021</v>
      </c>
      <c r="D1" s="79">
        <v>2022</v>
      </c>
      <c r="E1" s="78">
        <v>2023</v>
      </c>
      <c r="F1" s="79">
        <v>2024</v>
      </c>
      <c r="G1" s="78">
        <v>2025</v>
      </c>
      <c r="H1" s="79">
        <v>2026</v>
      </c>
      <c r="I1" s="78">
        <v>2027</v>
      </c>
      <c r="J1" s="79">
        <v>2028</v>
      </c>
      <c r="K1" s="78">
        <v>2029</v>
      </c>
      <c r="L1" s="79">
        <v>2030</v>
      </c>
      <c r="M1" s="78">
        <v>2031</v>
      </c>
      <c r="N1" s="79">
        <v>2032</v>
      </c>
      <c r="O1" s="78">
        <v>2033</v>
      </c>
      <c r="P1" s="79">
        <v>2034</v>
      </c>
      <c r="Q1" s="78">
        <v>2035</v>
      </c>
      <c r="R1" s="79">
        <v>2036</v>
      </c>
      <c r="S1" s="78">
        <v>2037</v>
      </c>
      <c r="T1" s="79">
        <v>2038</v>
      </c>
      <c r="U1" s="78">
        <v>2039</v>
      </c>
      <c r="V1" s="79">
        <v>2040</v>
      </c>
    </row>
    <row r="2" spans="1:22" x14ac:dyDescent="0.3">
      <c r="A2" s="32" t="s">
        <v>47</v>
      </c>
      <c r="B2" s="33" t="s">
        <v>41</v>
      </c>
      <c r="C2" s="108">
        <f>IFERROR(IF(ISBLANK(Current_DTE!C2),INDEX(Minutes_by_use_case!$B$2:$B$9,MATCH($B2,Minutes_by_use_case!$A$2:$A$9,0)),Current_DTE!C2),"-")</f>
        <v>133409.35004928565</v>
      </c>
      <c r="D2" s="108">
        <f>IFERROR(IF(ISBLANK(Current_DTE!D2),INDEX(Minutes_by_use_case!$B$2:$B$9,MATCH($B2,Minutes_by_use_case!$A$2:$A$9,0)),Current_DTE!D2),"-")</f>
        <v>133409.35004928565</v>
      </c>
      <c r="E2" s="108">
        <f>IFERROR(IF(ISBLANK(Current_DTE!E2),INDEX(Minutes_by_use_case!$B$2:$B$9,MATCH($B2,Minutes_by_use_case!$A$2:$A$9,0)),Current_DTE!E2),"-")</f>
        <v>133409.35004928565</v>
      </c>
      <c r="F2" s="108">
        <f>IFERROR(IF(ISBLANK(Current_DTE!F2),INDEX(Minutes_by_use_case!$B$2:$B$9,MATCH($B2,Minutes_by_use_case!$A$2:$A$9,0)),Current_DTE!F2),"-")</f>
        <v>133409.35004928565</v>
      </c>
      <c r="G2" s="108">
        <f>IFERROR(IF(ISBLANK(Current_DTE!G2),INDEX(Minutes_by_use_case!$B$2:$B$9,MATCH($B2,Minutes_by_use_case!$A$2:$A$9,0)),Current_DTE!G2),"-")</f>
        <v>133409.35004928565</v>
      </c>
      <c r="H2" s="108">
        <f>IFERROR(IF(ISBLANK(Current_DTE!H2),INDEX(Minutes_by_use_case!$B$2:$B$9,MATCH($B2,Minutes_by_use_case!$A$2:$A$9,0)),Current_DTE!H2),"-")</f>
        <v>133409.35004928565</v>
      </c>
      <c r="I2" s="108">
        <f>IFERROR(IF(ISBLANK(Current_DTE!I2),INDEX(Minutes_by_use_case!$B$2:$B$9,MATCH($B2,Minutes_by_use_case!$A$2:$A$9,0)),Current_DTE!I2),"-")</f>
        <v>133409.35004928565</v>
      </c>
      <c r="J2" s="108">
        <f>IFERROR(IF(ISBLANK(Current_DTE!J2),INDEX(Minutes_by_use_case!$B$2:$B$9,MATCH($B2,Minutes_by_use_case!$A$2:$A$9,0)),Current_DTE!J2),"-")</f>
        <v>133409.35004928565</v>
      </c>
      <c r="K2" s="108">
        <f>IFERROR(IF(ISBLANK(Current_DTE!K2),INDEX(Minutes_by_use_case!$B$2:$B$9,MATCH($B2,Minutes_by_use_case!$A$2:$A$9,0)),Current_DTE!K2),"-")</f>
        <v>133409.35004928565</v>
      </c>
      <c r="L2" s="108">
        <f>IFERROR(IF(ISBLANK(Current_DTE!L2),INDEX(Minutes_by_use_case!$B$2:$B$9,MATCH($B2,Minutes_by_use_case!$A$2:$A$9,0)),Current_DTE!L2),"-")</f>
        <v>133409.35004928565</v>
      </c>
      <c r="M2" s="108">
        <f>IFERROR(IF(ISBLANK(Current_DTE!M2),INDEX(Minutes_by_use_case!$B$2:$B$9,MATCH($B2,Minutes_by_use_case!$A$2:$A$9,0)),Current_DTE!M2),"-")</f>
        <v>133409.35004928565</v>
      </c>
      <c r="N2" s="108">
        <f>IFERROR(IF(ISBLANK(Current_DTE!N2),INDEX(Minutes_by_use_case!$B$2:$B$9,MATCH($B2,Minutes_by_use_case!$A$2:$A$9,0)),Current_DTE!N2),"-")</f>
        <v>133409.35004928565</v>
      </c>
      <c r="O2" s="108">
        <f>IFERROR(IF(ISBLANK(Current_DTE!O2),INDEX(Minutes_by_use_case!$B$2:$B$9,MATCH($B2,Minutes_by_use_case!$A$2:$A$9,0)),Current_DTE!O2),"-")</f>
        <v>133409.35004928565</v>
      </c>
      <c r="P2" s="108">
        <f>IFERROR(IF(ISBLANK(Current_DTE!P2),INDEX(Minutes_by_use_case!$B$2:$B$9,MATCH($B2,Minutes_by_use_case!$A$2:$A$9,0)),Current_DTE!P2),"-")</f>
        <v>133409.35004928565</v>
      </c>
      <c r="Q2" s="108">
        <f>IFERROR(IF(ISBLANK(Current_DTE!Q2),INDEX(Minutes_by_use_case!$B$2:$B$9,MATCH($B2,Minutes_by_use_case!$A$2:$A$9,0)),Current_DTE!Q2),"-")</f>
        <v>133409.35004928565</v>
      </c>
      <c r="R2" s="108">
        <f>IFERROR(IF(ISBLANK(Current_DTE!R2),INDEX(Minutes_by_use_case!$B$2:$B$9,MATCH($B2,Minutes_by_use_case!$A$2:$A$9,0)),Current_DTE!R2),"-")</f>
        <v>133409.35004928565</v>
      </c>
      <c r="S2" s="108">
        <f>IFERROR(IF(ISBLANK(Current_DTE!S2),INDEX(Minutes_by_use_case!$B$2:$B$9,MATCH($B2,Minutes_by_use_case!$A$2:$A$9,0)),Current_DTE!S2),"-")</f>
        <v>133409.35004928565</v>
      </c>
      <c r="T2" s="108">
        <f>IFERROR(IF(ISBLANK(Current_DTE!T2),INDEX(Minutes_by_use_case!$B$2:$B$9,MATCH($B2,Minutes_by_use_case!$A$2:$A$9,0)),Current_DTE!T2),"-")</f>
        <v>133409.35004928565</v>
      </c>
      <c r="U2" s="108">
        <f>IFERROR(IF(ISBLANK(Current_DTE!U2),INDEX(Minutes_by_use_case!$B$2:$B$9,MATCH($B2,Minutes_by_use_case!$A$2:$A$9,0)),Current_DTE!U2),"-")</f>
        <v>133409.35004928565</v>
      </c>
      <c r="V2" s="108">
        <f>IFERROR(IF(ISBLANK(Current_DTE!V2),INDEX(Minutes_by_use_case!$B$2:$B$9,MATCH($B2,Minutes_by_use_case!$A$2:$A$9,0)),Current_DTE!V2),"-")</f>
        <v>133409.35004928565</v>
      </c>
    </row>
    <row r="3" spans="1:22" x14ac:dyDescent="0.3">
      <c r="A3" s="32" t="s">
        <v>17</v>
      </c>
      <c r="B3" s="33" t="s">
        <v>41</v>
      </c>
      <c r="C3" s="108">
        <f>IFERROR(IF(ISBLANK(Current_DTE!C3),INDEX(Minutes_by_use_case!$B$2:$B$9,MATCH($B3,Minutes_by_use_case!$A$2:$A$9,0)),Current_DTE!C3),"-")</f>
        <v>2249.4702694444441</v>
      </c>
      <c r="D3" s="108">
        <f>IFERROR(IF(ISBLANK(Current_DTE!D3),INDEX(Minutes_by_use_case!$B$2:$B$9,MATCH($B3,Minutes_by_use_case!$A$2:$A$9,0)),Current_DTE!D3),"-")</f>
        <v>1189.7750000000001</v>
      </c>
      <c r="E3" s="108">
        <f>IFERROR(IF(ISBLANK(Current_DTE!E3),INDEX(Minutes_by_use_case!$B$2:$B$9,MATCH($B3,Minutes_by_use_case!$A$2:$A$9,0)),Current_DTE!E3),"-")</f>
        <v>649.57638888888891</v>
      </c>
      <c r="F3" s="108">
        <f>IFERROR(IF(ISBLANK(Current_DTE!F3),INDEX(Minutes_by_use_case!$B$2:$B$9,MATCH($B3,Minutes_by_use_case!$A$2:$A$9,0)),Current_DTE!F3),"-")</f>
        <v>1663.1641649999997</v>
      </c>
      <c r="G3" s="108">
        <f>IFERROR(IF(ISBLANK(Current_DTE!G3),INDEX(Minutes_by_use_case!$B$2:$B$9,MATCH($B3,Minutes_by_use_case!$A$2:$A$9,0)),Current_DTE!G3),"-")</f>
        <v>1663.1641649999997</v>
      </c>
      <c r="H3" s="108">
        <f>IFERROR(IF(ISBLANK(Current_DTE!H3),INDEX(Minutes_by_use_case!$B$2:$B$9,MATCH($B3,Minutes_by_use_case!$A$2:$A$9,0)),Current_DTE!H3),"-")</f>
        <v>1663.1641649999997</v>
      </c>
      <c r="I3" s="108">
        <f>IFERROR(IF(ISBLANK(Current_DTE!I3),INDEX(Minutes_by_use_case!$B$2:$B$9,MATCH($B3,Minutes_by_use_case!$A$2:$A$9,0)),Current_DTE!I3),"-")</f>
        <v>1663.1641649999997</v>
      </c>
      <c r="J3" s="108">
        <f>IFERROR(IF(ISBLANK(Current_DTE!J3),INDEX(Minutes_by_use_case!$B$2:$B$9,MATCH($B3,Minutes_by_use_case!$A$2:$A$9,0)),Current_DTE!J3),"-")</f>
        <v>1663.1641649999997</v>
      </c>
      <c r="K3" s="108">
        <f>IFERROR(IF(ISBLANK(Current_DTE!K3),INDEX(Minutes_by_use_case!$B$2:$B$9,MATCH($B3,Minutes_by_use_case!$A$2:$A$9,0)),Current_DTE!K3),"-")</f>
        <v>1663.1641649999997</v>
      </c>
      <c r="L3" s="108">
        <f>IFERROR(IF(ISBLANK(Current_DTE!L3),INDEX(Minutes_by_use_case!$B$2:$B$9,MATCH($B3,Minutes_by_use_case!$A$2:$A$9,0)),Current_DTE!L3),"-")</f>
        <v>1663.1641649999997</v>
      </c>
      <c r="M3" s="108">
        <f>IFERROR(IF(ISBLANK(Current_DTE!M3),INDEX(Minutes_by_use_case!$B$2:$B$9,MATCH($B3,Minutes_by_use_case!$A$2:$A$9,0)),Current_DTE!M3),"-")</f>
        <v>1663.1641649999997</v>
      </c>
      <c r="N3" s="108">
        <f>IFERROR(IF(ISBLANK(Current_DTE!N3),INDEX(Minutes_by_use_case!$B$2:$B$9,MATCH($B3,Minutes_by_use_case!$A$2:$A$9,0)),Current_DTE!N3),"-")</f>
        <v>1663.1641649999997</v>
      </c>
      <c r="O3" s="108">
        <f>IFERROR(IF(ISBLANK(Current_DTE!O3),INDEX(Minutes_by_use_case!$B$2:$B$9,MATCH($B3,Minutes_by_use_case!$A$2:$A$9,0)),Current_DTE!O3),"-")</f>
        <v>1663.1641649999997</v>
      </c>
      <c r="P3" s="108">
        <f>IFERROR(IF(ISBLANK(Current_DTE!P3),INDEX(Minutes_by_use_case!$B$2:$B$9,MATCH($B3,Minutes_by_use_case!$A$2:$A$9,0)),Current_DTE!P3),"-")</f>
        <v>1663.1641649999997</v>
      </c>
      <c r="Q3" s="108">
        <f>IFERROR(IF(ISBLANK(Current_DTE!Q3),INDEX(Minutes_by_use_case!$B$2:$B$9,MATCH($B3,Minutes_by_use_case!$A$2:$A$9,0)),Current_DTE!Q3),"-")</f>
        <v>1663.1641649999997</v>
      </c>
      <c r="R3" s="108">
        <f>IFERROR(IF(ISBLANK(Current_DTE!R3),INDEX(Minutes_by_use_case!$B$2:$B$9,MATCH($B3,Minutes_by_use_case!$A$2:$A$9,0)),Current_DTE!R3),"-")</f>
        <v>1663.1641649999997</v>
      </c>
      <c r="S3" s="108">
        <f>IFERROR(IF(ISBLANK(Current_DTE!S3),INDEX(Minutes_by_use_case!$B$2:$B$9,MATCH($B3,Minutes_by_use_case!$A$2:$A$9,0)),Current_DTE!S3),"-")</f>
        <v>1663.1641649999997</v>
      </c>
      <c r="T3" s="108">
        <f>IFERROR(IF(ISBLANK(Current_DTE!T3),INDEX(Minutes_by_use_case!$B$2:$B$9,MATCH($B3,Minutes_by_use_case!$A$2:$A$9,0)),Current_DTE!T3),"-")</f>
        <v>1663.1641649999997</v>
      </c>
      <c r="U3" s="108">
        <f>IFERROR(IF(ISBLANK(Current_DTE!U3),INDEX(Minutes_by_use_case!$B$2:$B$9,MATCH($B3,Minutes_by_use_case!$A$2:$A$9,0)),Current_DTE!U3),"-")</f>
        <v>1663.1641649999997</v>
      </c>
      <c r="V3" s="108">
        <f>IFERROR(IF(ISBLANK(Current_DTE!V3),INDEX(Minutes_by_use_case!$B$2:$B$9,MATCH($B3,Minutes_by_use_case!$A$2:$A$9,0)),Current_DTE!V3),"-")</f>
        <v>1663.1641649999997</v>
      </c>
    </row>
    <row r="4" spans="1:22" x14ac:dyDescent="0.3">
      <c r="A4" s="32" t="s">
        <v>49</v>
      </c>
      <c r="B4" s="33" t="s">
        <v>41</v>
      </c>
      <c r="C4" s="108">
        <f>IFERROR(IF(ISBLANK(Current_DTE!C4),INDEX(Minutes_by_use_case!$B$2:$B$9,MATCH($B4,Minutes_by_use_case!$A$2:$A$9,0)),Current_DTE!C4),"-")</f>
        <v>1151.5091666666667</v>
      </c>
      <c r="D4" s="108">
        <f>IFERROR(IF(ISBLANK(Current_DTE!D4),INDEX(Minutes_by_use_case!$B$2:$B$9,MATCH($B4,Minutes_by_use_case!$A$2:$A$9,0)),Current_DTE!D4),"-")</f>
        <v>1164.4527777777778</v>
      </c>
      <c r="E4" s="108">
        <f>IFERROR(IF(ISBLANK(Current_DTE!E4),INDEX(Minutes_by_use_case!$B$2:$B$9,MATCH($B4,Minutes_by_use_case!$A$2:$A$9,0)),Current_DTE!E4),"-")</f>
        <v>862.00805555555553</v>
      </c>
      <c r="F4" s="108">
        <f>IFERROR(IF(ISBLANK(Current_DTE!F4),INDEX(Minutes_by_use_case!$B$2:$B$9,MATCH($B4,Minutes_by_use_case!$A$2:$A$9,0)),Current_DTE!F4),"-")</f>
        <v>1093.0107777777775</v>
      </c>
      <c r="G4" s="108">
        <f>IFERROR(IF(ISBLANK(Current_DTE!G4),INDEX(Minutes_by_use_case!$B$2:$B$9,MATCH($B4,Minutes_by_use_case!$A$2:$A$9,0)),Current_DTE!G4),"-")</f>
        <v>1093.0107777777775</v>
      </c>
      <c r="H4" s="108">
        <f>IFERROR(IF(ISBLANK(Current_DTE!H4),INDEX(Minutes_by_use_case!$B$2:$B$9,MATCH($B4,Minutes_by_use_case!$A$2:$A$9,0)),Current_DTE!H4),"-")</f>
        <v>1093.0107777777775</v>
      </c>
      <c r="I4" s="108">
        <f>IFERROR(IF(ISBLANK(Current_DTE!I4),INDEX(Minutes_by_use_case!$B$2:$B$9,MATCH($B4,Minutes_by_use_case!$A$2:$A$9,0)),Current_DTE!I4),"-")</f>
        <v>1093.0107777777775</v>
      </c>
      <c r="J4" s="108">
        <f>IFERROR(IF(ISBLANK(Current_DTE!J4),INDEX(Minutes_by_use_case!$B$2:$B$9,MATCH($B4,Minutes_by_use_case!$A$2:$A$9,0)),Current_DTE!J4),"-")</f>
        <v>1093.0107777777775</v>
      </c>
      <c r="K4" s="108">
        <f>IFERROR(IF(ISBLANK(Current_DTE!K4),INDEX(Minutes_by_use_case!$B$2:$B$9,MATCH($B4,Minutes_by_use_case!$A$2:$A$9,0)),Current_DTE!K4),"-")</f>
        <v>1093.0107777777775</v>
      </c>
      <c r="L4" s="108">
        <f>IFERROR(IF(ISBLANK(Current_DTE!L4),INDEX(Minutes_by_use_case!$B$2:$B$9,MATCH($B4,Minutes_by_use_case!$A$2:$A$9,0)),Current_DTE!L4),"-")</f>
        <v>1093.0107777777775</v>
      </c>
      <c r="M4" s="108">
        <f>IFERROR(IF(ISBLANK(Current_DTE!M4),INDEX(Minutes_by_use_case!$B$2:$B$9,MATCH($B4,Minutes_by_use_case!$A$2:$A$9,0)),Current_DTE!M4),"-")</f>
        <v>1093.0107777777775</v>
      </c>
      <c r="N4" s="108">
        <f>IFERROR(IF(ISBLANK(Current_DTE!N4),INDEX(Minutes_by_use_case!$B$2:$B$9,MATCH($B4,Minutes_by_use_case!$A$2:$A$9,0)),Current_DTE!N4),"-")</f>
        <v>1093.0107777777775</v>
      </c>
      <c r="O4" s="108">
        <f>IFERROR(IF(ISBLANK(Current_DTE!O4),INDEX(Minutes_by_use_case!$B$2:$B$9,MATCH($B4,Minutes_by_use_case!$A$2:$A$9,0)),Current_DTE!O4),"-")</f>
        <v>1093.0107777777775</v>
      </c>
      <c r="P4" s="108">
        <f>IFERROR(IF(ISBLANK(Current_DTE!P4),INDEX(Minutes_by_use_case!$B$2:$B$9,MATCH($B4,Minutes_by_use_case!$A$2:$A$9,0)),Current_DTE!P4),"-")</f>
        <v>1093.0107777777775</v>
      </c>
      <c r="Q4" s="108">
        <f>IFERROR(IF(ISBLANK(Current_DTE!Q4),INDEX(Minutes_by_use_case!$B$2:$B$9,MATCH($B4,Minutes_by_use_case!$A$2:$A$9,0)),Current_DTE!Q4),"-")</f>
        <v>1093.0107777777775</v>
      </c>
      <c r="R4" s="108">
        <f>IFERROR(IF(ISBLANK(Current_DTE!R4),INDEX(Minutes_by_use_case!$B$2:$B$9,MATCH($B4,Minutes_by_use_case!$A$2:$A$9,0)),Current_DTE!R4),"-")</f>
        <v>1093.0107777777775</v>
      </c>
      <c r="S4" s="108">
        <f>IFERROR(IF(ISBLANK(Current_DTE!S4),INDEX(Minutes_by_use_case!$B$2:$B$9,MATCH($B4,Minutes_by_use_case!$A$2:$A$9,0)),Current_DTE!S4),"-")</f>
        <v>1093.0107777777775</v>
      </c>
      <c r="T4" s="108">
        <f>IFERROR(IF(ISBLANK(Current_DTE!T4),INDEX(Minutes_by_use_case!$B$2:$B$9,MATCH($B4,Minutes_by_use_case!$A$2:$A$9,0)),Current_DTE!T4),"-")</f>
        <v>1093.0107777777775</v>
      </c>
      <c r="U4" s="108">
        <f>IFERROR(IF(ISBLANK(Current_DTE!U4),INDEX(Minutes_by_use_case!$B$2:$B$9,MATCH($B4,Minutes_by_use_case!$A$2:$A$9,0)),Current_DTE!U4),"-")</f>
        <v>1093.0107777777775</v>
      </c>
      <c r="V4" s="108">
        <f>IFERROR(IF(ISBLANK(Current_DTE!V4),INDEX(Minutes_by_use_case!$B$2:$B$9,MATCH($B4,Minutes_by_use_case!$A$2:$A$9,0)),Current_DTE!V4),"-")</f>
        <v>1093.0107777777775</v>
      </c>
    </row>
    <row r="5" spans="1:22" x14ac:dyDescent="0.3">
      <c r="A5" s="32" t="s">
        <v>50</v>
      </c>
      <c r="B5" s="39" t="s">
        <v>43</v>
      </c>
      <c r="C5" s="108">
        <f>IFERROR(IF(ISBLANK(Current_DTE!C5),INDEX(Minutes_by_use_case!$B$2:$B$9,MATCH($B5,Minutes_by_use_case!$A$2:$A$9,0)),Current_DTE!C5),"-")</f>
        <v>171572.29579277776</v>
      </c>
      <c r="D5" s="108">
        <f>IFERROR(IF(ISBLANK(Current_DTE!D5),INDEX(Minutes_by_use_case!$B$2:$B$9,MATCH($B5,Minutes_by_use_case!$A$2:$A$9,0)),Current_DTE!D5),"-")</f>
        <v>171572.29579277776</v>
      </c>
      <c r="E5" s="108">
        <f>IFERROR(IF(ISBLANK(Current_DTE!E5),INDEX(Minutes_by_use_case!$B$2:$B$9,MATCH($B5,Minutes_by_use_case!$A$2:$A$9,0)),Current_DTE!E5),"-")</f>
        <v>171572.29579277776</v>
      </c>
      <c r="F5" s="108">
        <f>IFERROR(IF(ISBLANK(Current_DTE!F5),INDEX(Minutes_by_use_case!$B$2:$B$9,MATCH($B5,Minutes_by_use_case!$A$2:$A$9,0)),Current_DTE!F5),"-")</f>
        <v>171572.29579277776</v>
      </c>
      <c r="G5" s="108">
        <f>IFERROR(IF(ISBLANK(Current_DTE!G5),INDEX(Minutes_by_use_case!$B$2:$B$9,MATCH($B5,Minutes_by_use_case!$A$2:$A$9,0)),Current_DTE!G5),"-")</f>
        <v>171572.29579277776</v>
      </c>
      <c r="H5" s="108">
        <f>IFERROR(IF(ISBLANK(Current_DTE!H5),INDEX(Minutes_by_use_case!$B$2:$B$9,MATCH($B5,Minutes_by_use_case!$A$2:$A$9,0)),Current_DTE!H5),"-")</f>
        <v>171572.29579277776</v>
      </c>
      <c r="I5" s="108">
        <f>IFERROR(IF(ISBLANK(Current_DTE!I5),INDEX(Minutes_by_use_case!$B$2:$B$9,MATCH($B5,Minutes_by_use_case!$A$2:$A$9,0)),Current_DTE!I5),"-")</f>
        <v>171572.29579277776</v>
      </c>
      <c r="J5" s="108">
        <f>IFERROR(IF(ISBLANK(Current_DTE!J5),INDEX(Minutes_by_use_case!$B$2:$B$9,MATCH($B5,Minutes_by_use_case!$A$2:$A$9,0)),Current_DTE!J5),"-")</f>
        <v>171572.29579277776</v>
      </c>
      <c r="K5" s="108">
        <f>IFERROR(IF(ISBLANK(Current_DTE!K5),INDEX(Minutes_by_use_case!$B$2:$B$9,MATCH($B5,Minutes_by_use_case!$A$2:$A$9,0)),Current_DTE!K5),"-")</f>
        <v>171572.29579277776</v>
      </c>
      <c r="L5" s="108">
        <f>IFERROR(IF(ISBLANK(Current_DTE!L5),INDEX(Minutes_by_use_case!$B$2:$B$9,MATCH($B5,Minutes_by_use_case!$A$2:$A$9,0)),Current_DTE!L5),"-")</f>
        <v>171572.29579277776</v>
      </c>
      <c r="M5" s="108">
        <f>IFERROR(IF(ISBLANK(Current_DTE!M5),INDEX(Minutes_by_use_case!$B$2:$B$9,MATCH($B5,Minutes_by_use_case!$A$2:$A$9,0)),Current_DTE!M5),"-")</f>
        <v>171572.29579277776</v>
      </c>
      <c r="N5" s="108">
        <f>IFERROR(IF(ISBLANK(Current_DTE!N5),INDEX(Minutes_by_use_case!$B$2:$B$9,MATCH($B5,Minutes_by_use_case!$A$2:$A$9,0)),Current_DTE!N5),"-")</f>
        <v>171572.29579277776</v>
      </c>
      <c r="O5" s="108">
        <f>IFERROR(IF(ISBLANK(Current_DTE!O5),INDEX(Minutes_by_use_case!$B$2:$B$9,MATCH($B5,Minutes_by_use_case!$A$2:$A$9,0)),Current_DTE!O5),"-")</f>
        <v>171572.29579277776</v>
      </c>
      <c r="P5" s="108">
        <f>IFERROR(IF(ISBLANK(Current_DTE!P5),INDEX(Minutes_by_use_case!$B$2:$B$9,MATCH($B5,Minutes_by_use_case!$A$2:$A$9,0)),Current_DTE!P5),"-")</f>
        <v>171572.29579277776</v>
      </c>
      <c r="Q5" s="108">
        <f>IFERROR(IF(ISBLANK(Current_DTE!Q5),INDEX(Minutes_by_use_case!$B$2:$B$9,MATCH($B5,Minutes_by_use_case!$A$2:$A$9,0)),Current_DTE!Q5),"-")</f>
        <v>171572.29579277776</v>
      </c>
      <c r="R5" s="108">
        <f>IFERROR(IF(ISBLANK(Current_DTE!R5),INDEX(Minutes_by_use_case!$B$2:$B$9,MATCH($B5,Minutes_by_use_case!$A$2:$A$9,0)),Current_DTE!R5),"-")</f>
        <v>171572.29579277776</v>
      </c>
      <c r="S5" s="108">
        <f>IFERROR(IF(ISBLANK(Current_DTE!S5),INDEX(Minutes_by_use_case!$B$2:$B$9,MATCH($B5,Minutes_by_use_case!$A$2:$A$9,0)),Current_DTE!S5),"-")</f>
        <v>171572.29579277776</v>
      </c>
      <c r="T5" s="108">
        <f>IFERROR(IF(ISBLANK(Current_DTE!T5),INDEX(Minutes_by_use_case!$B$2:$B$9,MATCH($B5,Minutes_by_use_case!$A$2:$A$9,0)),Current_DTE!T5),"-")</f>
        <v>171572.29579277776</v>
      </c>
      <c r="U5" s="108">
        <f>IFERROR(IF(ISBLANK(Current_DTE!U5),INDEX(Minutes_by_use_case!$B$2:$B$9,MATCH($B5,Minutes_by_use_case!$A$2:$A$9,0)),Current_DTE!U5),"-")</f>
        <v>171572.29579277776</v>
      </c>
      <c r="V5" s="108">
        <f>IFERROR(IF(ISBLANK(Current_DTE!V5),INDEX(Minutes_by_use_case!$B$2:$B$9,MATCH($B5,Minutes_by_use_case!$A$2:$A$9,0)),Current_DTE!V5),"-")</f>
        <v>171572.29579277776</v>
      </c>
    </row>
    <row r="6" spans="1:22" x14ac:dyDescent="0.3">
      <c r="A6" s="32" t="s">
        <v>51</v>
      </c>
      <c r="B6" s="40" t="s">
        <v>42</v>
      </c>
      <c r="C6" s="108">
        <f>IFERROR(IF(ISBLANK(Current_DTE!C6),INDEX(Minutes_by_use_case!$B$2:$B$9,MATCH($B6,Minutes_by_use_case!$A$2:$A$9,0)),Current_DTE!C6),"-")</f>
        <v>30.559216666666664</v>
      </c>
      <c r="D6" s="108">
        <f>IFERROR(IF(ISBLANK(Current_DTE!D6),INDEX(Minutes_by_use_case!$B$2:$B$9,MATCH($B6,Minutes_by_use_case!$A$2:$A$9,0)),Current_DTE!D6),"-")</f>
        <v>69.774163888888879</v>
      </c>
      <c r="E6" s="108">
        <f>IFERROR(IF(ISBLANK(Current_DTE!E6),INDEX(Minutes_by_use_case!$B$2:$B$9,MATCH($B6,Minutes_by_use_case!$A$2:$A$9,0)),Current_DTE!E6),"-")</f>
        <v>18.289311111111111</v>
      </c>
      <c r="F6" s="108">
        <f>IFERROR(IF(ISBLANK(Current_DTE!F6),INDEX(Minutes_by_use_case!$B$2:$B$9,MATCH($B6,Minutes_by_use_case!$A$2:$A$9,0)),Current_DTE!F6),"-")</f>
        <v>35.440637222222215</v>
      </c>
      <c r="G6" s="108">
        <f>IFERROR(IF(ISBLANK(Current_DTE!G6),INDEX(Minutes_by_use_case!$B$2:$B$9,MATCH($B6,Minutes_by_use_case!$A$2:$A$9,0)),Current_DTE!G6),"-")</f>
        <v>35.440637222222215</v>
      </c>
      <c r="H6" s="108">
        <f>IFERROR(IF(ISBLANK(Current_DTE!H6),INDEX(Minutes_by_use_case!$B$2:$B$9,MATCH($B6,Minutes_by_use_case!$A$2:$A$9,0)),Current_DTE!H6),"-")</f>
        <v>35.440637222222215</v>
      </c>
      <c r="I6" s="108">
        <f>IFERROR(IF(ISBLANK(Current_DTE!I6),INDEX(Minutes_by_use_case!$B$2:$B$9,MATCH($B6,Minutes_by_use_case!$A$2:$A$9,0)),Current_DTE!I6),"-")</f>
        <v>35.440637222222215</v>
      </c>
      <c r="J6" s="108">
        <f>IFERROR(IF(ISBLANK(Current_DTE!J6),INDEX(Minutes_by_use_case!$B$2:$B$9,MATCH($B6,Minutes_by_use_case!$A$2:$A$9,0)),Current_DTE!J6),"-")</f>
        <v>35.440637222222215</v>
      </c>
      <c r="K6" s="108">
        <f>IFERROR(IF(ISBLANK(Current_DTE!K6),INDEX(Minutes_by_use_case!$B$2:$B$9,MATCH($B6,Minutes_by_use_case!$A$2:$A$9,0)),Current_DTE!K6),"-")</f>
        <v>35.440637222222215</v>
      </c>
      <c r="L6" s="108">
        <f>IFERROR(IF(ISBLANK(Current_DTE!L6),INDEX(Minutes_by_use_case!$B$2:$B$9,MATCH($B6,Minutes_by_use_case!$A$2:$A$9,0)),Current_DTE!L6),"-")</f>
        <v>35.440637222222215</v>
      </c>
      <c r="M6" s="108">
        <f>IFERROR(IF(ISBLANK(Current_DTE!M6),INDEX(Minutes_by_use_case!$B$2:$B$9,MATCH($B6,Minutes_by_use_case!$A$2:$A$9,0)),Current_DTE!M6),"-")</f>
        <v>35.440637222222215</v>
      </c>
      <c r="N6" s="108">
        <f>IFERROR(IF(ISBLANK(Current_DTE!N6),INDEX(Minutes_by_use_case!$B$2:$B$9,MATCH($B6,Minutes_by_use_case!$A$2:$A$9,0)),Current_DTE!N6),"-")</f>
        <v>35.440637222222215</v>
      </c>
      <c r="O6" s="108">
        <f>IFERROR(IF(ISBLANK(Current_DTE!O6),INDEX(Minutes_by_use_case!$B$2:$B$9,MATCH($B6,Minutes_by_use_case!$A$2:$A$9,0)),Current_DTE!O6),"-")</f>
        <v>35.440637222222215</v>
      </c>
      <c r="P6" s="108">
        <f>IFERROR(IF(ISBLANK(Current_DTE!P6),INDEX(Minutes_by_use_case!$B$2:$B$9,MATCH($B6,Minutes_by_use_case!$A$2:$A$9,0)),Current_DTE!P6),"-")</f>
        <v>35.440637222222215</v>
      </c>
      <c r="Q6" s="108">
        <f>IFERROR(IF(ISBLANK(Current_DTE!Q6),INDEX(Minutes_by_use_case!$B$2:$B$9,MATCH($B6,Minutes_by_use_case!$A$2:$A$9,0)),Current_DTE!Q6),"-")</f>
        <v>35.440637222222215</v>
      </c>
      <c r="R6" s="108">
        <f>IFERROR(IF(ISBLANK(Current_DTE!R6),INDEX(Minutes_by_use_case!$B$2:$B$9,MATCH($B6,Minutes_by_use_case!$A$2:$A$9,0)),Current_DTE!R6),"-")</f>
        <v>35.440637222222215</v>
      </c>
      <c r="S6" s="108">
        <f>IFERROR(IF(ISBLANK(Current_DTE!S6),INDEX(Minutes_by_use_case!$B$2:$B$9,MATCH($B6,Minutes_by_use_case!$A$2:$A$9,0)),Current_DTE!S6),"-")</f>
        <v>35.440637222222215</v>
      </c>
      <c r="T6" s="108">
        <f>IFERROR(IF(ISBLANK(Current_DTE!T6),INDEX(Minutes_by_use_case!$B$2:$B$9,MATCH($B6,Minutes_by_use_case!$A$2:$A$9,0)),Current_DTE!T6),"-")</f>
        <v>35.440637222222215</v>
      </c>
      <c r="U6" s="108">
        <f>IFERROR(IF(ISBLANK(Current_DTE!U6),INDEX(Minutes_by_use_case!$B$2:$B$9,MATCH($B6,Minutes_by_use_case!$A$2:$A$9,0)),Current_DTE!U6),"-")</f>
        <v>35.440637222222215</v>
      </c>
      <c r="V6" s="108">
        <f>IFERROR(IF(ISBLANK(Current_DTE!V6),INDEX(Minutes_by_use_case!$B$2:$B$9,MATCH($B6,Minutes_by_use_case!$A$2:$A$9,0)),Current_DTE!V6),"-")</f>
        <v>35.440637222222215</v>
      </c>
    </row>
    <row r="7" spans="1:22" x14ac:dyDescent="0.3">
      <c r="A7" s="32" t="s">
        <v>52</v>
      </c>
      <c r="B7" s="33" t="s">
        <v>41</v>
      </c>
      <c r="C7" s="108">
        <f>IFERROR(IF(ISBLANK(Current_DTE!C7),INDEX(Minutes_by_use_case!$B$2:$B$9,MATCH($B7,Minutes_by_use_case!$A$2:$A$9,0)),Current_DTE!C7),"-")</f>
        <v>667.42555555555555</v>
      </c>
      <c r="D7" s="108">
        <f>IFERROR(IF(ISBLANK(Current_DTE!D7),INDEX(Minutes_by_use_case!$B$2:$B$9,MATCH($B7,Minutes_by_use_case!$A$2:$A$9,0)),Current_DTE!D7),"-")</f>
        <v>707.53916666666669</v>
      </c>
      <c r="E7" s="108">
        <f>IFERROR(IF(ISBLANK(Current_DTE!E7),INDEX(Minutes_by_use_case!$B$2:$B$9,MATCH($B7,Minutes_by_use_case!$A$2:$A$9,0)),Current_DTE!E7),"-")</f>
        <v>608.43833333333339</v>
      </c>
      <c r="F7" s="108">
        <f>IFERROR(IF(ISBLANK(Current_DTE!F7),INDEX(Minutes_by_use_case!$B$2:$B$9,MATCH($B7,Minutes_by_use_case!$A$2:$A$9,0)),Current_DTE!F7),"-")</f>
        <v>671.11811111111115</v>
      </c>
      <c r="G7" s="108">
        <f>IFERROR(IF(ISBLANK(Current_DTE!G7),INDEX(Minutes_by_use_case!$B$2:$B$9,MATCH($B7,Minutes_by_use_case!$A$2:$A$9,0)),Current_DTE!G7),"-")</f>
        <v>671.11811111111115</v>
      </c>
      <c r="H7" s="108">
        <f>IFERROR(IF(ISBLANK(Current_DTE!H7),INDEX(Minutes_by_use_case!$B$2:$B$9,MATCH($B7,Minutes_by_use_case!$A$2:$A$9,0)),Current_DTE!H7),"-")</f>
        <v>671.11811111111115</v>
      </c>
      <c r="I7" s="108">
        <f>IFERROR(IF(ISBLANK(Current_DTE!I7),INDEX(Minutes_by_use_case!$B$2:$B$9,MATCH($B7,Minutes_by_use_case!$A$2:$A$9,0)),Current_DTE!I7),"-")</f>
        <v>671.11811111111115</v>
      </c>
      <c r="J7" s="108">
        <f>IFERROR(IF(ISBLANK(Current_DTE!J7),INDEX(Minutes_by_use_case!$B$2:$B$9,MATCH($B7,Minutes_by_use_case!$A$2:$A$9,0)),Current_DTE!J7),"-")</f>
        <v>671.11811111111115</v>
      </c>
      <c r="K7" s="108">
        <f>IFERROR(IF(ISBLANK(Current_DTE!K7),INDEX(Minutes_by_use_case!$B$2:$B$9,MATCH($B7,Minutes_by_use_case!$A$2:$A$9,0)),Current_DTE!K7),"-")</f>
        <v>671.11811111111115</v>
      </c>
      <c r="L7" s="108">
        <f>IFERROR(IF(ISBLANK(Current_DTE!L7),INDEX(Minutes_by_use_case!$B$2:$B$9,MATCH($B7,Minutes_by_use_case!$A$2:$A$9,0)),Current_DTE!L7),"-")</f>
        <v>671.11811111111115</v>
      </c>
      <c r="M7" s="108">
        <f>IFERROR(IF(ISBLANK(Current_DTE!M7),INDEX(Minutes_by_use_case!$B$2:$B$9,MATCH($B7,Minutes_by_use_case!$A$2:$A$9,0)),Current_DTE!M7),"-")</f>
        <v>671.11811111111115</v>
      </c>
      <c r="N7" s="108">
        <f>IFERROR(IF(ISBLANK(Current_DTE!N7),INDEX(Minutes_by_use_case!$B$2:$B$9,MATCH($B7,Minutes_by_use_case!$A$2:$A$9,0)),Current_DTE!N7),"-")</f>
        <v>671.11811111111115</v>
      </c>
      <c r="O7" s="108">
        <f>IFERROR(IF(ISBLANK(Current_DTE!O7),INDEX(Minutes_by_use_case!$B$2:$B$9,MATCH($B7,Minutes_by_use_case!$A$2:$A$9,0)),Current_DTE!O7),"-")</f>
        <v>671.11811111111115</v>
      </c>
      <c r="P7" s="108">
        <f>IFERROR(IF(ISBLANK(Current_DTE!P7),INDEX(Minutes_by_use_case!$B$2:$B$9,MATCH($B7,Minutes_by_use_case!$A$2:$A$9,0)),Current_DTE!P7),"-")</f>
        <v>671.11811111111115</v>
      </c>
      <c r="Q7" s="108">
        <f>IFERROR(IF(ISBLANK(Current_DTE!Q7),INDEX(Minutes_by_use_case!$B$2:$B$9,MATCH($B7,Minutes_by_use_case!$A$2:$A$9,0)),Current_DTE!Q7),"-")</f>
        <v>671.11811111111115</v>
      </c>
      <c r="R7" s="108">
        <f>IFERROR(IF(ISBLANK(Current_DTE!R7),INDEX(Minutes_by_use_case!$B$2:$B$9,MATCH($B7,Minutes_by_use_case!$A$2:$A$9,0)),Current_DTE!R7),"-")</f>
        <v>671.11811111111115</v>
      </c>
      <c r="S7" s="108">
        <f>IFERROR(IF(ISBLANK(Current_DTE!S7),INDEX(Minutes_by_use_case!$B$2:$B$9,MATCH($B7,Minutes_by_use_case!$A$2:$A$9,0)),Current_DTE!S7),"-")</f>
        <v>671.11811111111115</v>
      </c>
      <c r="T7" s="108">
        <f>IFERROR(IF(ISBLANK(Current_DTE!T7),INDEX(Minutes_by_use_case!$B$2:$B$9,MATCH($B7,Minutes_by_use_case!$A$2:$A$9,0)),Current_DTE!T7),"-")</f>
        <v>671.11811111111115</v>
      </c>
      <c r="U7" s="108">
        <f>IFERROR(IF(ISBLANK(Current_DTE!U7),INDEX(Minutes_by_use_case!$B$2:$B$9,MATCH($B7,Minutes_by_use_case!$A$2:$A$9,0)),Current_DTE!U7),"-")</f>
        <v>671.11811111111115</v>
      </c>
      <c r="V7" s="108">
        <f>IFERROR(IF(ISBLANK(Current_DTE!V7),INDEX(Minutes_by_use_case!$B$2:$B$9,MATCH($B7,Minutes_by_use_case!$A$2:$A$9,0)),Current_DTE!V7),"-")</f>
        <v>671.11811111111115</v>
      </c>
    </row>
    <row r="8" spans="1:22" x14ac:dyDescent="0.3">
      <c r="A8" s="32" t="s">
        <v>18</v>
      </c>
      <c r="B8" s="41" t="s">
        <v>48</v>
      </c>
      <c r="C8" s="108">
        <f>IFERROR(IF(ISBLANK(Current_DTE!C8),INDEX(Minutes_by_use_case!$B$2:$B$9,MATCH($B8,Minutes_by_use_case!$A$2:$A$9,0)),Current_DTE!C8),"-")</f>
        <v>508.14004722222222</v>
      </c>
      <c r="D8" s="108">
        <f>IFERROR(IF(ISBLANK(Current_DTE!D8),INDEX(Minutes_by_use_case!$B$2:$B$9,MATCH($B8,Minutes_by_use_case!$A$2:$A$9,0)),Current_DTE!D8),"-")</f>
        <v>377.5913888888889</v>
      </c>
      <c r="E8" s="108">
        <f>IFERROR(IF(ISBLANK(Current_DTE!E8),INDEX(Minutes_by_use_case!$B$2:$B$9,MATCH($B8,Minutes_by_use_case!$A$2:$A$9,0)),Current_DTE!E8),"-")</f>
        <v>307.24861111111113</v>
      </c>
      <c r="F8" s="108">
        <f>IFERROR(IF(ISBLANK(Current_DTE!F8),INDEX(Minutes_by_use_case!$B$2:$B$9,MATCH($B8,Minutes_by_use_case!$A$2:$A$9,0)),Current_DTE!F8),"-")</f>
        <v>392.20349666666669</v>
      </c>
      <c r="G8" s="108">
        <f>IFERROR(IF(ISBLANK(Current_DTE!G8),INDEX(Minutes_by_use_case!$B$2:$B$9,MATCH($B8,Minutes_by_use_case!$A$2:$A$9,0)),Current_DTE!G8),"-")</f>
        <v>392.20349666666669</v>
      </c>
      <c r="H8" s="108">
        <f>IFERROR(IF(ISBLANK(Current_DTE!H8),INDEX(Minutes_by_use_case!$B$2:$B$9,MATCH($B8,Minutes_by_use_case!$A$2:$A$9,0)),Current_DTE!H8),"-")</f>
        <v>392.20349666666669</v>
      </c>
      <c r="I8" s="108">
        <f>IFERROR(IF(ISBLANK(Current_DTE!I8),INDEX(Minutes_by_use_case!$B$2:$B$9,MATCH($B8,Minutes_by_use_case!$A$2:$A$9,0)),Current_DTE!I8),"-")</f>
        <v>392.20349666666669</v>
      </c>
      <c r="J8" s="108">
        <f>IFERROR(IF(ISBLANK(Current_DTE!J8),INDEX(Minutes_by_use_case!$B$2:$B$9,MATCH($B8,Minutes_by_use_case!$A$2:$A$9,0)),Current_DTE!J8),"-")</f>
        <v>392.20349666666669</v>
      </c>
      <c r="K8" s="108">
        <f>IFERROR(IF(ISBLANK(Current_DTE!K8),INDEX(Minutes_by_use_case!$B$2:$B$9,MATCH($B8,Minutes_by_use_case!$A$2:$A$9,0)),Current_DTE!K8),"-")</f>
        <v>392.20349666666669</v>
      </c>
      <c r="L8" s="108">
        <f>IFERROR(IF(ISBLANK(Current_DTE!L8),INDEX(Minutes_by_use_case!$B$2:$B$9,MATCH($B8,Minutes_by_use_case!$A$2:$A$9,0)),Current_DTE!L8),"-")</f>
        <v>392.20349666666669</v>
      </c>
      <c r="M8" s="108">
        <f>IFERROR(IF(ISBLANK(Current_DTE!M8),INDEX(Minutes_by_use_case!$B$2:$B$9,MATCH($B8,Minutes_by_use_case!$A$2:$A$9,0)),Current_DTE!M8),"-")</f>
        <v>392.20349666666669</v>
      </c>
      <c r="N8" s="108">
        <f>IFERROR(IF(ISBLANK(Current_DTE!N8),INDEX(Minutes_by_use_case!$B$2:$B$9,MATCH($B8,Minutes_by_use_case!$A$2:$A$9,0)),Current_DTE!N8),"-")</f>
        <v>392.20349666666669</v>
      </c>
      <c r="O8" s="108">
        <f>IFERROR(IF(ISBLANK(Current_DTE!O8),INDEX(Minutes_by_use_case!$B$2:$B$9,MATCH($B8,Minutes_by_use_case!$A$2:$A$9,0)),Current_DTE!O8),"-")</f>
        <v>392.20349666666669</v>
      </c>
      <c r="P8" s="108">
        <f>IFERROR(IF(ISBLANK(Current_DTE!P8),INDEX(Minutes_by_use_case!$B$2:$B$9,MATCH($B8,Minutes_by_use_case!$A$2:$A$9,0)),Current_DTE!P8),"-")</f>
        <v>392.20349666666669</v>
      </c>
      <c r="Q8" s="108">
        <f>IFERROR(IF(ISBLANK(Current_DTE!Q8),INDEX(Minutes_by_use_case!$B$2:$B$9,MATCH($B8,Minutes_by_use_case!$A$2:$A$9,0)),Current_DTE!Q8),"-")</f>
        <v>392.20349666666669</v>
      </c>
      <c r="R8" s="108">
        <f>IFERROR(IF(ISBLANK(Current_DTE!R8),INDEX(Minutes_by_use_case!$B$2:$B$9,MATCH($B8,Minutes_by_use_case!$A$2:$A$9,0)),Current_DTE!R8),"-")</f>
        <v>392.20349666666669</v>
      </c>
      <c r="S8" s="108">
        <f>IFERROR(IF(ISBLANK(Current_DTE!S8),INDEX(Minutes_by_use_case!$B$2:$B$9,MATCH($B8,Minutes_by_use_case!$A$2:$A$9,0)),Current_DTE!S8),"-")</f>
        <v>392.20349666666669</v>
      </c>
      <c r="T8" s="108">
        <f>IFERROR(IF(ISBLANK(Current_DTE!T8),INDEX(Minutes_by_use_case!$B$2:$B$9,MATCH($B8,Minutes_by_use_case!$A$2:$A$9,0)),Current_DTE!T8),"-")</f>
        <v>392.20349666666669</v>
      </c>
      <c r="U8" s="108">
        <f>IFERROR(IF(ISBLANK(Current_DTE!U8),INDEX(Minutes_by_use_case!$B$2:$B$9,MATCH($B8,Minutes_by_use_case!$A$2:$A$9,0)),Current_DTE!U8),"-")</f>
        <v>392.20349666666669</v>
      </c>
      <c r="V8" s="108">
        <f>IFERROR(IF(ISBLANK(Current_DTE!V8),INDEX(Minutes_by_use_case!$B$2:$B$9,MATCH($B8,Minutes_by_use_case!$A$2:$A$9,0)),Current_DTE!V8),"-")</f>
        <v>392.20349666666669</v>
      </c>
    </row>
    <row r="9" spans="1:22" x14ac:dyDescent="0.3">
      <c r="A9" s="32" t="s">
        <v>53</v>
      </c>
      <c r="B9" s="33" t="s">
        <v>41</v>
      </c>
      <c r="C9" s="108">
        <f>IFERROR(IF(ISBLANK(Current_DTE!C9),INDEX(Minutes_by_use_case!$B$2:$B$9,MATCH($B9,Minutes_by_use_case!$A$2:$A$9,0)),Current_DTE!C9),"-")</f>
        <v>133409.35004928565</v>
      </c>
      <c r="D9" s="108">
        <f>IFERROR(IF(ISBLANK(Current_DTE!D9),INDEX(Minutes_by_use_case!$B$2:$B$9,MATCH($B9,Minutes_by_use_case!$A$2:$A$9,0)),Current_DTE!D9),"-")</f>
        <v>133409.35004928565</v>
      </c>
      <c r="E9" s="108">
        <f>IFERROR(IF(ISBLANK(Current_DTE!E9),INDEX(Minutes_by_use_case!$B$2:$B$9,MATCH($B9,Minutes_by_use_case!$A$2:$A$9,0)),Current_DTE!E9),"-")</f>
        <v>133409.35004928565</v>
      </c>
      <c r="F9" s="108">
        <f>IFERROR(IF(ISBLANK(Current_DTE!F9),INDEX(Minutes_by_use_case!$B$2:$B$9,MATCH($B9,Minutes_by_use_case!$A$2:$A$9,0)),Current_DTE!F9),"-")</f>
        <v>133409.35004928565</v>
      </c>
      <c r="G9" s="108">
        <f>IFERROR(IF(ISBLANK(Current_DTE!G9),INDEX(Minutes_by_use_case!$B$2:$B$9,MATCH($B9,Minutes_by_use_case!$A$2:$A$9,0)),Current_DTE!G9),"-")</f>
        <v>133409.35004928565</v>
      </c>
      <c r="H9" s="108">
        <f>IFERROR(IF(ISBLANK(Current_DTE!H9),INDEX(Minutes_by_use_case!$B$2:$B$9,MATCH($B9,Minutes_by_use_case!$A$2:$A$9,0)),Current_DTE!H9),"-")</f>
        <v>133409.35004928565</v>
      </c>
      <c r="I9" s="108">
        <f>IFERROR(IF(ISBLANK(Current_DTE!I9),INDEX(Minutes_by_use_case!$B$2:$B$9,MATCH($B9,Minutes_by_use_case!$A$2:$A$9,0)),Current_DTE!I9),"-")</f>
        <v>133409.35004928565</v>
      </c>
      <c r="J9" s="108">
        <f>IFERROR(IF(ISBLANK(Current_DTE!J9),INDEX(Minutes_by_use_case!$B$2:$B$9,MATCH($B9,Minutes_by_use_case!$A$2:$A$9,0)),Current_DTE!J9),"-")</f>
        <v>133409.35004928565</v>
      </c>
      <c r="K9" s="108">
        <f>IFERROR(IF(ISBLANK(Current_DTE!K9),INDEX(Minutes_by_use_case!$B$2:$B$9,MATCH($B9,Minutes_by_use_case!$A$2:$A$9,0)),Current_DTE!K9),"-")</f>
        <v>133409.35004928565</v>
      </c>
      <c r="L9" s="108">
        <f>IFERROR(IF(ISBLANK(Current_DTE!L9),INDEX(Minutes_by_use_case!$B$2:$B$9,MATCH($B9,Minutes_by_use_case!$A$2:$A$9,0)),Current_DTE!L9),"-")</f>
        <v>133409.35004928565</v>
      </c>
      <c r="M9" s="108">
        <f>IFERROR(IF(ISBLANK(Current_DTE!M9),INDEX(Minutes_by_use_case!$B$2:$B$9,MATCH($B9,Minutes_by_use_case!$A$2:$A$9,0)),Current_DTE!M9),"-")</f>
        <v>133409.35004928565</v>
      </c>
      <c r="N9" s="108">
        <f>IFERROR(IF(ISBLANK(Current_DTE!N9),INDEX(Minutes_by_use_case!$B$2:$B$9,MATCH($B9,Minutes_by_use_case!$A$2:$A$9,0)),Current_DTE!N9),"-")</f>
        <v>133409.35004928565</v>
      </c>
      <c r="O9" s="108">
        <f>IFERROR(IF(ISBLANK(Current_DTE!O9),INDEX(Minutes_by_use_case!$B$2:$B$9,MATCH($B9,Minutes_by_use_case!$A$2:$A$9,0)),Current_DTE!O9),"-")</f>
        <v>133409.35004928565</v>
      </c>
      <c r="P9" s="108">
        <f>IFERROR(IF(ISBLANK(Current_DTE!P9),INDEX(Minutes_by_use_case!$B$2:$B$9,MATCH($B9,Minutes_by_use_case!$A$2:$A$9,0)),Current_DTE!P9),"-")</f>
        <v>133409.35004928565</v>
      </c>
      <c r="Q9" s="108">
        <f>IFERROR(IF(ISBLANK(Current_DTE!Q9),INDEX(Minutes_by_use_case!$B$2:$B$9,MATCH($B9,Minutes_by_use_case!$A$2:$A$9,0)),Current_DTE!Q9),"-")</f>
        <v>133409.35004928565</v>
      </c>
      <c r="R9" s="108">
        <f>IFERROR(IF(ISBLANK(Current_DTE!R9),INDEX(Minutes_by_use_case!$B$2:$B$9,MATCH($B9,Minutes_by_use_case!$A$2:$A$9,0)),Current_DTE!R9),"-")</f>
        <v>133409.35004928565</v>
      </c>
      <c r="S9" s="108">
        <f>IFERROR(IF(ISBLANK(Current_DTE!S9),INDEX(Minutes_by_use_case!$B$2:$B$9,MATCH($B9,Minutes_by_use_case!$A$2:$A$9,0)),Current_DTE!S9),"-")</f>
        <v>133409.35004928565</v>
      </c>
      <c r="T9" s="108">
        <f>IFERROR(IF(ISBLANK(Current_DTE!T9),INDEX(Minutes_by_use_case!$B$2:$B$9,MATCH($B9,Minutes_by_use_case!$A$2:$A$9,0)),Current_DTE!T9),"-")</f>
        <v>133409.35004928565</v>
      </c>
      <c r="U9" s="108">
        <f>IFERROR(IF(ISBLANK(Current_DTE!U9),INDEX(Minutes_by_use_case!$B$2:$B$9,MATCH($B9,Minutes_by_use_case!$A$2:$A$9,0)),Current_DTE!U9),"-")</f>
        <v>133409.35004928565</v>
      </c>
      <c r="V9" s="108">
        <f>IFERROR(IF(ISBLANK(Current_DTE!V9),INDEX(Minutes_by_use_case!$B$2:$B$9,MATCH($B9,Minutes_by_use_case!$A$2:$A$9,0)),Current_DTE!V9),"-")</f>
        <v>133409.35004928565</v>
      </c>
    </row>
    <row r="10" spans="1:22" x14ac:dyDescent="0.3">
      <c r="A10" s="32" t="s">
        <v>54</v>
      </c>
      <c r="B10" s="40" t="s">
        <v>43</v>
      </c>
      <c r="C10" s="108">
        <f>IFERROR(IF(ISBLANK(Current_DTE!C10),INDEX(Minutes_by_use_case!$B$2:$B$9,MATCH($B10,Minutes_by_use_case!$A$2:$A$9,0)),Current_DTE!C10),"-")</f>
        <v>1178.5658305555555</v>
      </c>
      <c r="D10" s="108">
        <f>IFERROR(IF(ISBLANK(Current_DTE!D10),INDEX(Minutes_by_use_case!$B$2:$B$9,MATCH($B10,Minutes_by_use_case!$A$2:$A$9,0)),Current_DTE!D10),"-")</f>
        <v>779.39891388888896</v>
      </c>
      <c r="E10" s="108">
        <f>IFERROR(IF(ISBLANK(Current_DTE!E10),INDEX(Minutes_by_use_case!$B$2:$B$9,MATCH($B10,Minutes_by_use_case!$A$2:$A$9,0)),Current_DTE!E10),"-")</f>
        <v>4.2386111111111111</v>
      </c>
      <c r="F10" s="108">
        <f>IFERROR(IF(ISBLANK(Current_DTE!F10),INDEX(Minutes_by_use_case!$B$2:$B$9,MATCH($B10,Minutes_by_use_case!$A$2:$A$9,0)),Current_DTE!F10),"-")</f>
        <v>871.54136999999992</v>
      </c>
      <c r="G10" s="108">
        <f>IFERROR(IF(ISBLANK(Current_DTE!G10),INDEX(Minutes_by_use_case!$B$2:$B$9,MATCH($B10,Minutes_by_use_case!$A$2:$A$9,0)),Current_DTE!G10),"-")</f>
        <v>871.54136999999992</v>
      </c>
      <c r="H10" s="108">
        <f>IFERROR(IF(ISBLANK(Current_DTE!H10),INDEX(Minutes_by_use_case!$B$2:$B$9,MATCH($B10,Minutes_by_use_case!$A$2:$A$9,0)),Current_DTE!H10),"-")</f>
        <v>871.54136999999992</v>
      </c>
      <c r="I10" s="108">
        <f>IFERROR(IF(ISBLANK(Current_DTE!I10),INDEX(Minutes_by_use_case!$B$2:$B$9,MATCH($B10,Minutes_by_use_case!$A$2:$A$9,0)),Current_DTE!I10),"-")</f>
        <v>871.54136999999992</v>
      </c>
      <c r="J10" s="108">
        <f>IFERROR(IF(ISBLANK(Current_DTE!J10),INDEX(Minutes_by_use_case!$B$2:$B$9,MATCH($B10,Minutes_by_use_case!$A$2:$A$9,0)),Current_DTE!J10),"-")</f>
        <v>871.54136999999992</v>
      </c>
      <c r="K10" s="108">
        <f>IFERROR(IF(ISBLANK(Current_DTE!K10),INDEX(Minutes_by_use_case!$B$2:$B$9,MATCH($B10,Minutes_by_use_case!$A$2:$A$9,0)),Current_DTE!K10),"-")</f>
        <v>871.54136999999992</v>
      </c>
      <c r="L10" s="108">
        <f>IFERROR(IF(ISBLANK(Current_DTE!L10),INDEX(Minutes_by_use_case!$B$2:$B$9,MATCH($B10,Minutes_by_use_case!$A$2:$A$9,0)),Current_DTE!L10),"-")</f>
        <v>871.54136999999992</v>
      </c>
      <c r="M10" s="108">
        <f>IFERROR(IF(ISBLANK(Current_DTE!M10),INDEX(Minutes_by_use_case!$B$2:$B$9,MATCH($B10,Minutes_by_use_case!$A$2:$A$9,0)),Current_DTE!M10),"-")</f>
        <v>871.54136999999992</v>
      </c>
      <c r="N10" s="108">
        <f>IFERROR(IF(ISBLANK(Current_DTE!N10),INDEX(Minutes_by_use_case!$B$2:$B$9,MATCH($B10,Minutes_by_use_case!$A$2:$A$9,0)),Current_DTE!N10),"-")</f>
        <v>871.54136999999992</v>
      </c>
      <c r="O10" s="108">
        <f>IFERROR(IF(ISBLANK(Current_DTE!O10),INDEX(Minutes_by_use_case!$B$2:$B$9,MATCH($B10,Minutes_by_use_case!$A$2:$A$9,0)),Current_DTE!O10),"-")</f>
        <v>871.54136999999992</v>
      </c>
      <c r="P10" s="108">
        <f>IFERROR(IF(ISBLANK(Current_DTE!P10),INDEX(Minutes_by_use_case!$B$2:$B$9,MATCH($B10,Minutes_by_use_case!$A$2:$A$9,0)),Current_DTE!P10),"-")</f>
        <v>871.54136999999992</v>
      </c>
      <c r="Q10" s="108">
        <f>IFERROR(IF(ISBLANK(Current_DTE!Q10),INDEX(Minutes_by_use_case!$B$2:$B$9,MATCH($B10,Minutes_by_use_case!$A$2:$A$9,0)),Current_DTE!Q10),"-")</f>
        <v>871.54136999999992</v>
      </c>
      <c r="R10" s="108">
        <f>IFERROR(IF(ISBLANK(Current_DTE!R10),INDEX(Minutes_by_use_case!$B$2:$B$9,MATCH($B10,Minutes_by_use_case!$A$2:$A$9,0)),Current_DTE!R10),"-")</f>
        <v>871.54136999999992</v>
      </c>
      <c r="S10" s="108">
        <f>IFERROR(IF(ISBLANK(Current_DTE!S10),INDEX(Minutes_by_use_case!$B$2:$B$9,MATCH($B10,Minutes_by_use_case!$A$2:$A$9,0)),Current_DTE!S10),"-")</f>
        <v>871.54136999999992</v>
      </c>
      <c r="T10" s="108">
        <f>IFERROR(IF(ISBLANK(Current_DTE!T10),INDEX(Minutes_by_use_case!$B$2:$B$9,MATCH($B10,Minutes_by_use_case!$A$2:$A$9,0)),Current_DTE!T10),"-")</f>
        <v>871.54136999999992</v>
      </c>
      <c r="U10" s="108">
        <f>IFERROR(IF(ISBLANK(Current_DTE!U10),INDEX(Minutes_by_use_case!$B$2:$B$9,MATCH($B10,Minutes_by_use_case!$A$2:$A$9,0)),Current_DTE!U10),"-")</f>
        <v>871.54136999999992</v>
      </c>
      <c r="V10" s="108">
        <f>IFERROR(IF(ISBLANK(Current_DTE!V10),INDEX(Minutes_by_use_case!$B$2:$B$9,MATCH($B10,Minutes_by_use_case!$A$2:$A$9,0)),Current_DTE!V10),"-")</f>
        <v>871.54136999999992</v>
      </c>
    </row>
    <row r="11" spans="1:22" x14ac:dyDescent="0.3">
      <c r="A11" s="32" t="s">
        <v>55</v>
      </c>
      <c r="B11" s="40" t="s">
        <v>42</v>
      </c>
      <c r="C11" s="108">
        <f>IFERROR(IF(ISBLANK(Current_DTE!C11),INDEX(Minutes_by_use_case!$B$2:$B$9,MATCH($B11,Minutes_by_use_case!$A$2:$A$9,0)),Current_DTE!C11),"-")</f>
        <v>721.11352444444435</v>
      </c>
      <c r="D11" s="108">
        <f>IFERROR(IF(ISBLANK(Current_DTE!D11),INDEX(Minutes_by_use_case!$B$2:$B$9,MATCH($B11,Minutes_by_use_case!$A$2:$A$9,0)),Current_DTE!D11),"-")</f>
        <v>721.11352444444435</v>
      </c>
      <c r="E11" s="108">
        <f>IFERROR(IF(ISBLANK(Current_DTE!E11),INDEX(Minutes_by_use_case!$B$2:$B$9,MATCH($B11,Minutes_by_use_case!$A$2:$A$9,0)),Current_DTE!E11),"-")</f>
        <v>721.11352444444435</v>
      </c>
      <c r="F11" s="108">
        <f>IFERROR(IF(ISBLANK(Current_DTE!F11),INDEX(Minutes_by_use_case!$B$2:$B$9,MATCH($B11,Minutes_by_use_case!$A$2:$A$9,0)),Current_DTE!F11),"-")</f>
        <v>721.11352444444435</v>
      </c>
      <c r="G11" s="108">
        <f>IFERROR(IF(ISBLANK(Current_DTE!G11),INDEX(Minutes_by_use_case!$B$2:$B$9,MATCH($B11,Minutes_by_use_case!$A$2:$A$9,0)),Current_DTE!G11),"-")</f>
        <v>721.11352444444435</v>
      </c>
      <c r="H11" s="108">
        <f>IFERROR(IF(ISBLANK(Current_DTE!H11),INDEX(Minutes_by_use_case!$B$2:$B$9,MATCH($B11,Minutes_by_use_case!$A$2:$A$9,0)),Current_DTE!H11),"-")</f>
        <v>721.11352444444435</v>
      </c>
      <c r="I11" s="108">
        <f>IFERROR(IF(ISBLANK(Current_DTE!I11),INDEX(Minutes_by_use_case!$B$2:$B$9,MATCH($B11,Minutes_by_use_case!$A$2:$A$9,0)),Current_DTE!I11),"-")</f>
        <v>721.11352444444435</v>
      </c>
      <c r="J11" s="108">
        <f>IFERROR(IF(ISBLANK(Current_DTE!J11),INDEX(Minutes_by_use_case!$B$2:$B$9,MATCH($B11,Minutes_by_use_case!$A$2:$A$9,0)),Current_DTE!J11),"-")</f>
        <v>721.11352444444435</v>
      </c>
      <c r="K11" s="108">
        <f>IFERROR(IF(ISBLANK(Current_DTE!K11),INDEX(Minutes_by_use_case!$B$2:$B$9,MATCH($B11,Minutes_by_use_case!$A$2:$A$9,0)),Current_DTE!K11),"-")</f>
        <v>721.11352444444435</v>
      </c>
      <c r="L11" s="108">
        <f>IFERROR(IF(ISBLANK(Current_DTE!L11),INDEX(Minutes_by_use_case!$B$2:$B$9,MATCH($B11,Minutes_by_use_case!$A$2:$A$9,0)),Current_DTE!L11),"-")</f>
        <v>721.11352444444435</v>
      </c>
      <c r="M11" s="108">
        <f>IFERROR(IF(ISBLANK(Current_DTE!M11),INDEX(Minutes_by_use_case!$B$2:$B$9,MATCH($B11,Minutes_by_use_case!$A$2:$A$9,0)),Current_DTE!M11),"-")</f>
        <v>721.11352444444435</v>
      </c>
      <c r="N11" s="108">
        <f>IFERROR(IF(ISBLANK(Current_DTE!N11),INDEX(Minutes_by_use_case!$B$2:$B$9,MATCH($B11,Minutes_by_use_case!$A$2:$A$9,0)),Current_DTE!N11),"-")</f>
        <v>721.11352444444435</v>
      </c>
      <c r="O11" s="108">
        <f>IFERROR(IF(ISBLANK(Current_DTE!O11),INDEX(Minutes_by_use_case!$B$2:$B$9,MATCH($B11,Minutes_by_use_case!$A$2:$A$9,0)),Current_DTE!O11),"-")</f>
        <v>721.11352444444435</v>
      </c>
      <c r="P11" s="108">
        <f>IFERROR(IF(ISBLANK(Current_DTE!P11),INDEX(Minutes_by_use_case!$B$2:$B$9,MATCH($B11,Minutes_by_use_case!$A$2:$A$9,0)),Current_DTE!P11),"-")</f>
        <v>721.11352444444435</v>
      </c>
      <c r="Q11" s="108">
        <f>IFERROR(IF(ISBLANK(Current_DTE!Q11),INDEX(Minutes_by_use_case!$B$2:$B$9,MATCH($B11,Minutes_by_use_case!$A$2:$A$9,0)),Current_DTE!Q11),"-")</f>
        <v>721.11352444444435</v>
      </c>
      <c r="R11" s="108">
        <f>IFERROR(IF(ISBLANK(Current_DTE!R11),INDEX(Minutes_by_use_case!$B$2:$B$9,MATCH($B11,Minutes_by_use_case!$A$2:$A$9,0)),Current_DTE!R11),"-")</f>
        <v>721.11352444444435</v>
      </c>
      <c r="S11" s="108">
        <f>IFERROR(IF(ISBLANK(Current_DTE!S11),INDEX(Minutes_by_use_case!$B$2:$B$9,MATCH($B11,Minutes_by_use_case!$A$2:$A$9,0)),Current_DTE!S11),"-")</f>
        <v>721.11352444444435</v>
      </c>
      <c r="T11" s="108">
        <f>IFERROR(IF(ISBLANK(Current_DTE!T11),INDEX(Minutes_by_use_case!$B$2:$B$9,MATCH($B11,Minutes_by_use_case!$A$2:$A$9,0)),Current_DTE!T11),"-")</f>
        <v>721.11352444444435</v>
      </c>
      <c r="U11" s="108">
        <f>IFERROR(IF(ISBLANK(Current_DTE!U11),INDEX(Minutes_by_use_case!$B$2:$B$9,MATCH($B11,Minutes_by_use_case!$A$2:$A$9,0)),Current_DTE!U11),"-")</f>
        <v>721.11352444444435</v>
      </c>
      <c r="V11" s="108">
        <f>IFERROR(IF(ISBLANK(Current_DTE!V11),INDEX(Minutes_by_use_case!$B$2:$B$9,MATCH($B11,Minutes_by_use_case!$A$2:$A$9,0)),Current_DTE!V11),"-")</f>
        <v>721.11352444444435</v>
      </c>
    </row>
    <row r="12" spans="1:22" x14ac:dyDescent="0.3">
      <c r="A12" s="32" t="s">
        <v>56</v>
      </c>
      <c r="B12" s="39" t="s">
        <v>43</v>
      </c>
      <c r="C12" s="108">
        <f>IFERROR(IF(ISBLANK(Current_DTE!C12),INDEX(Minutes_by_use_case!$B$2:$B$9,MATCH($B12,Minutes_by_use_case!$A$2:$A$9,0)),Current_DTE!C12),"-")</f>
        <v>171572.29579277776</v>
      </c>
      <c r="D12" s="108">
        <f>IFERROR(IF(ISBLANK(Current_DTE!D12),INDEX(Minutes_by_use_case!$B$2:$B$9,MATCH($B12,Minutes_by_use_case!$A$2:$A$9,0)),Current_DTE!D12),"-")</f>
        <v>171572.29579277776</v>
      </c>
      <c r="E12" s="108">
        <f>IFERROR(IF(ISBLANK(Current_DTE!E12),INDEX(Minutes_by_use_case!$B$2:$B$9,MATCH($B12,Minutes_by_use_case!$A$2:$A$9,0)),Current_DTE!E12),"-")</f>
        <v>171572.29579277776</v>
      </c>
      <c r="F12" s="108">
        <f>IFERROR(IF(ISBLANK(Current_DTE!F12),INDEX(Minutes_by_use_case!$B$2:$B$9,MATCH($B12,Minutes_by_use_case!$A$2:$A$9,0)),Current_DTE!F12),"-")</f>
        <v>171572.29579277776</v>
      </c>
      <c r="G12" s="108">
        <f>IFERROR(IF(ISBLANK(Current_DTE!G12),INDEX(Minutes_by_use_case!$B$2:$B$9,MATCH($B12,Minutes_by_use_case!$A$2:$A$9,0)),Current_DTE!G12),"-")</f>
        <v>171572.29579277776</v>
      </c>
      <c r="H12" s="108">
        <f>IFERROR(IF(ISBLANK(Current_DTE!H12),INDEX(Minutes_by_use_case!$B$2:$B$9,MATCH($B12,Minutes_by_use_case!$A$2:$A$9,0)),Current_DTE!H12),"-")</f>
        <v>171572.29579277776</v>
      </c>
      <c r="I12" s="108">
        <f>IFERROR(IF(ISBLANK(Current_DTE!I12),INDEX(Minutes_by_use_case!$B$2:$B$9,MATCH($B12,Minutes_by_use_case!$A$2:$A$9,0)),Current_DTE!I12),"-")</f>
        <v>171572.29579277776</v>
      </c>
      <c r="J12" s="108">
        <f>IFERROR(IF(ISBLANK(Current_DTE!J12),INDEX(Minutes_by_use_case!$B$2:$B$9,MATCH($B12,Minutes_by_use_case!$A$2:$A$9,0)),Current_DTE!J12),"-")</f>
        <v>171572.29579277776</v>
      </c>
      <c r="K12" s="108">
        <f>IFERROR(IF(ISBLANK(Current_DTE!K12),INDEX(Minutes_by_use_case!$B$2:$B$9,MATCH($B12,Minutes_by_use_case!$A$2:$A$9,0)),Current_DTE!K12),"-")</f>
        <v>171572.29579277776</v>
      </c>
      <c r="L12" s="108">
        <f>IFERROR(IF(ISBLANK(Current_DTE!L12),INDEX(Minutes_by_use_case!$B$2:$B$9,MATCH($B12,Minutes_by_use_case!$A$2:$A$9,0)),Current_DTE!L12),"-")</f>
        <v>171572.29579277776</v>
      </c>
      <c r="M12" s="108">
        <f>IFERROR(IF(ISBLANK(Current_DTE!M12),INDEX(Minutes_by_use_case!$B$2:$B$9,MATCH($B12,Minutes_by_use_case!$A$2:$A$9,0)),Current_DTE!M12),"-")</f>
        <v>171572.29579277776</v>
      </c>
      <c r="N12" s="108">
        <f>IFERROR(IF(ISBLANK(Current_DTE!N12),INDEX(Minutes_by_use_case!$B$2:$B$9,MATCH($B12,Minutes_by_use_case!$A$2:$A$9,0)),Current_DTE!N12),"-")</f>
        <v>171572.29579277776</v>
      </c>
      <c r="O12" s="108">
        <f>IFERROR(IF(ISBLANK(Current_DTE!O12),INDEX(Minutes_by_use_case!$B$2:$B$9,MATCH($B12,Minutes_by_use_case!$A$2:$A$9,0)),Current_DTE!O12),"-")</f>
        <v>171572.29579277776</v>
      </c>
      <c r="P12" s="108">
        <f>IFERROR(IF(ISBLANK(Current_DTE!P12),INDEX(Minutes_by_use_case!$B$2:$B$9,MATCH($B12,Minutes_by_use_case!$A$2:$A$9,0)),Current_DTE!P12),"-")</f>
        <v>171572.29579277776</v>
      </c>
      <c r="Q12" s="108">
        <f>IFERROR(IF(ISBLANK(Current_DTE!Q12),INDEX(Minutes_by_use_case!$B$2:$B$9,MATCH($B12,Minutes_by_use_case!$A$2:$A$9,0)),Current_DTE!Q12),"-")</f>
        <v>171572.29579277776</v>
      </c>
      <c r="R12" s="108">
        <f>IFERROR(IF(ISBLANK(Current_DTE!R12),INDEX(Minutes_by_use_case!$B$2:$B$9,MATCH($B12,Minutes_by_use_case!$A$2:$A$9,0)),Current_DTE!R12),"-")</f>
        <v>171572.29579277776</v>
      </c>
      <c r="S12" s="108">
        <f>IFERROR(IF(ISBLANK(Current_DTE!S12),INDEX(Minutes_by_use_case!$B$2:$B$9,MATCH($B12,Minutes_by_use_case!$A$2:$A$9,0)),Current_DTE!S12),"-")</f>
        <v>171572.29579277776</v>
      </c>
      <c r="T12" s="108">
        <f>IFERROR(IF(ISBLANK(Current_DTE!T12),INDEX(Minutes_by_use_case!$B$2:$B$9,MATCH($B12,Minutes_by_use_case!$A$2:$A$9,0)),Current_DTE!T12),"-")</f>
        <v>171572.29579277776</v>
      </c>
      <c r="U12" s="108">
        <f>IFERROR(IF(ISBLANK(Current_DTE!U12),INDEX(Minutes_by_use_case!$B$2:$B$9,MATCH($B12,Minutes_by_use_case!$A$2:$A$9,0)),Current_DTE!U12),"-")</f>
        <v>171572.29579277776</v>
      </c>
      <c r="V12" s="108">
        <f>IFERROR(IF(ISBLANK(Current_DTE!V12),INDEX(Minutes_by_use_case!$B$2:$B$9,MATCH($B12,Minutes_by_use_case!$A$2:$A$9,0)),Current_DTE!V12),"-")</f>
        <v>171572.29579277776</v>
      </c>
    </row>
    <row r="13" spans="1:22" x14ac:dyDescent="0.3">
      <c r="A13" s="32" t="s">
        <v>66</v>
      </c>
      <c r="B13" s="41" t="s">
        <v>48</v>
      </c>
      <c r="C13" s="108" t="str">
        <f>IFERROR(IF(ISBLANK(Current_DTE!C13),INDEX(Minutes_by_use_case!$B$2:$B$9,MATCH($B13,Minutes_by_use_case!$A$2:$A$9,0)),Current_DTE!C13),"-")</f>
        <v>-</v>
      </c>
      <c r="D13" s="108" t="str">
        <f>IFERROR(IF(ISBLANK(Current_DTE!D13),INDEX(Minutes_by_use_case!$B$2:$B$9,MATCH($B13,Minutes_by_use_case!$A$2:$A$9,0)),Current_DTE!D13),"-")</f>
        <v>-</v>
      </c>
      <c r="E13" s="108" t="str">
        <f>IFERROR(IF(ISBLANK(Current_DTE!E13),INDEX(Minutes_by_use_case!$B$2:$B$9,MATCH($B13,Minutes_by_use_case!$A$2:$A$9,0)),Current_DTE!E13),"-")</f>
        <v>-</v>
      </c>
      <c r="F13" s="108" t="str">
        <f>IFERROR(IF(ISBLANK(Current_DTE!F13),INDEX(Minutes_by_use_case!$B$2:$B$9,MATCH($B13,Minutes_by_use_case!$A$2:$A$9,0)),Current_DTE!F13),"-")</f>
        <v>-</v>
      </c>
      <c r="G13" s="108" t="str">
        <f>IFERROR(IF(ISBLANK(Current_DTE!G13),INDEX(Minutes_by_use_case!$B$2:$B$9,MATCH($B13,Minutes_by_use_case!$A$2:$A$9,0)),Current_DTE!G13),"-")</f>
        <v>-</v>
      </c>
      <c r="H13" s="108" t="str">
        <f>IFERROR(IF(ISBLANK(Current_DTE!H13),INDEX(Minutes_by_use_case!$B$2:$B$9,MATCH($B13,Minutes_by_use_case!$A$2:$A$9,0)),Current_DTE!H13),"-")</f>
        <v>-</v>
      </c>
      <c r="I13" s="108" t="str">
        <f>IFERROR(IF(ISBLANK(Current_DTE!I13),INDEX(Minutes_by_use_case!$B$2:$B$9,MATCH($B13,Minutes_by_use_case!$A$2:$A$9,0)),Current_DTE!I13),"-")</f>
        <v>-</v>
      </c>
      <c r="J13" s="108" t="str">
        <f>IFERROR(IF(ISBLANK(Current_DTE!J13),INDEX(Minutes_by_use_case!$B$2:$B$9,MATCH($B13,Minutes_by_use_case!$A$2:$A$9,0)),Current_DTE!J13),"-")</f>
        <v>-</v>
      </c>
      <c r="K13" s="108" t="str">
        <f>IFERROR(IF(ISBLANK(Current_DTE!K13),INDEX(Minutes_by_use_case!$B$2:$B$9,MATCH($B13,Minutes_by_use_case!$A$2:$A$9,0)),Current_DTE!K13),"-")</f>
        <v>-</v>
      </c>
      <c r="L13" s="108" t="str">
        <f>IFERROR(IF(ISBLANK(Current_DTE!L13),INDEX(Minutes_by_use_case!$B$2:$B$9,MATCH($B13,Minutes_by_use_case!$A$2:$A$9,0)),Current_DTE!L13),"-")</f>
        <v>-</v>
      </c>
      <c r="M13" s="108" t="str">
        <f>IFERROR(IF(ISBLANK(Current_DTE!M13),INDEX(Minutes_by_use_case!$B$2:$B$9,MATCH($B13,Minutes_by_use_case!$A$2:$A$9,0)),Current_DTE!M13),"-")</f>
        <v>-</v>
      </c>
      <c r="N13" s="108" t="str">
        <f>IFERROR(IF(ISBLANK(Current_DTE!N13),INDEX(Minutes_by_use_case!$B$2:$B$9,MATCH($B13,Minutes_by_use_case!$A$2:$A$9,0)),Current_DTE!N13),"-")</f>
        <v>-</v>
      </c>
      <c r="O13" s="108" t="str">
        <f>IFERROR(IF(ISBLANK(Current_DTE!O13),INDEX(Minutes_by_use_case!$B$2:$B$9,MATCH($B13,Minutes_by_use_case!$A$2:$A$9,0)),Current_DTE!O13),"-")</f>
        <v>-</v>
      </c>
      <c r="P13" s="108" t="str">
        <f>IFERROR(IF(ISBLANK(Current_DTE!P13),INDEX(Minutes_by_use_case!$B$2:$B$9,MATCH($B13,Minutes_by_use_case!$A$2:$A$9,0)),Current_DTE!P13),"-")</f>
        <v>-</v>
      </c>
      <c r="Q13" s="108" t="str">
        <f>IFERROR(IF(ISBLANK(Current_DTE!Q13),INDEX(Minutes_by_use_case!$B$2:$B$9,MATCH($B13,Minutes_by_use_case!$A$2:$A$9,0)),Current_DTE!Q13),"-")</f>
        <v>-</v>
      </c>
      <c r="R13" s="108" t="str">
        <f>IFERROR(IF(ISBLANK(Current_DTE!R13),INDEX(Minutes_by_use_case!$B$2:$B$9,MATCH($B13,Minutes_by_use_case!$A$2:$A$9,0)),Current_DTE!R13),"-")</f>
        <v>-</v>
      </c>
      <c r="S13" s="108" t="str">
        <f>IFERROR(IF(ISBLANK(Current_DTE!S13),INDEX(Minutes_by_use_case!$B$2:$B$9,MATCH($B13,Minutes_by_use_case!$A$2:$A$9,0)),Current_DTE!S13),"-")</f>
        <v>-</v>
      </c>
      <c r="T13" s="108" t="str">
        <f>IFERROR(IF(ISBLANK(Current_DTE!T13),INDEX(Minutes_by_use_case!$B$2:$B$9,MATCH($B13,Minutes_by_use_case!$A$2:$A$9,0)),Current_DTE!T13),"-")</f>
        <v>-</v>
      </c>
      <c r="U13" s="108" t="str">
        <f>IFERROR(IF(ISBLANK(Current_DTE!U13),INDEX(Minutes_by_use_case!$B$2:$B$9,MATCH($B13,Minutes_by_use_case!$A$2:$A$9,0)),Current_DTE!U13),"-")</f>
        <v>-</v>
      </c>
      <c r="V13" s="108" t="str">
        <f>IFERROR(IF(ISBLANK(Current_DTE!V13),INDEX(Minutes_by_use_case!$B$2:$B$9,MATCH($B13,Minutes_by_use_case!$A$2:$A$9,0)),Current_DTE!V13),"-")</f>
        <v>-</v>
      </c>
    </row>
    <row r="14" spans="1:22" x14ac:dyDescent="0.3">
      <c r="A14" s="32" t="s">
        <v>19</v>
      </c>
      <c r="B14" s="33" t="s">
        <v>41</v>
      </c>
      <c r="C14" s="108">
        <f>IFERROR(IF(ISBLANK(Current_DTE!C14),INDEX(Minutes_by_use_case!$B$2:$B$9,MATCH($B14,Minutes_by_use_case!$A$2:$A$9,0)),Current_DTE!C14),"-")</f>
        <v>851.36055555555549</v>
      </c>
      <c r="D14" s="108">
        <f>IFERROR(IF(ISBLANK(Current_DTE!D14),INDEX(Minutes_by_use_case!$B$2:$B$9,MATCH($B14,Minutes_by_use_case!$A$2:$A$9,0)),Current_DTE!D14),"-")</f>
        <v>921.41561944444436</v>
      </c>
      <c r="E14" s="108">
        <f>IFERROR(IF(ISBLANK(Current_DTE!E14),INDEX(Minutes_by_use_case!$B$2:$B$9,MATCH($B14,Minutes_by_use_case!$A$2:$A$9,0)),Current_DTE!E14),"-")</f>
        <v>793.34499999999991</v>
      </c>
      <c r="F14" s="108">
        <f>IFERROR(IF(ISBLANK(Current_DTE!F14),INDEX(Minutes_by_use_case!$B$2:$B$9,MATCH($B14,Minutes_by_use_case!$A$2:$A$9,0)),Current_DTE!F14),"-")</f>
        <v>796.60534611111109</v>
      </c>
      <c r="G14" s="108">
        <f>IFERROR(IF(ISBLANK(Current_DTE!G14),INDEX(Minutes_by_use_case!$B$2:$B$9,MATCH($B14,Minutes_by_use_case!$A$2:$A$9,0)),Current_DTE!G14),"-")</f>
        <v>796.60534611111109</v>
      </c>
      <c r="H14" s="108">
        <f>IFERROR(IF(ISBLANK(Current_DTE!H14),INDEX(Minutes_by_use_case!$B$2:$B$9,MATCH($B14,Minutes_by_use_case!$A$2:$A$9,0)),Current_DTE!H14),"-")</f>
        <v>796.60534611111109</v>
      </c>
      <c r="I14" s="108">
        <f>IFERROR(IF(ISBLANK(Current_DTE!I14),INDEX(Minutes_by_use_case!$B$2:$B$9,MATCH($B14,Minutes_by_use_case!$A$2:$A$9,0)),Current_DTE!I14),"-")</f>
        <v>796.60534611111109</v>
      </c>
      <c r="J14" s="108">
        <f>IFERROR(IF(ISBLANK(Current_DTE!J14),INDEX(Minutes_by_use_case!$B$2:$B$9,MATCH($B14,Minutes_by_use_case!$A$2:$A$9,0)),Current_DTE!J14),"-")</f>
        <v>796.60534611111109</v>
      </c>
      <c r="K14" s="108">
        <f>IFERROR(IF(ISBLANK(Current_DTE!K14),INDEX(Minutes_by_use_case!$B$2:$B$9,MATCH($B14,Minutes_by_use_case!$A$2:$A$9,0)),Current_DTE!K14),"-")</f>
        <v>796.60534611111109</v>
      </c>
      <c r="L14" s="108">
        <f>IFERROR(IF(ISBLANK(Current_DTE!L14),INDEX(Minutes_by_use_case!$B$2:$B$9,MATCH($B14,Minutes_by_use_case!$A$2:$A$9,0)),Current_DTE!L14),"-")</f>
        <v>796.60534611111109</v>
      </c>
      <c r="M14" s="108">
        <f>IFERROR(IF(ISBLANK(Current_DTE!M14),INDEX(Minutes_by_use_case!$B$2:$B$9,MATCH($B14,Minutes_by_use_case!$A$2:$A$9,0)),Current_DTE!M14),"-")</f>
        <v>796.60534611111109</v>
      </c>
      <c r="N14" s="108">
        <f>IFERROR(IF(ISBLANK(Current_DTE!N14),INDEX(Minutes_by_use_case!$B$2:$B$9,MATCH($B14,Minutes_by_use_case!$A$2:$A$9,0)),Current_DTE!N14),"-")</f>
        <v>796.60534611111109</v>
      </c>
      <c r="O14" s="108">
        <f>IFERROR(IF(ISBLANK(Current_DTE!O14),INDEX(Minutes_by_use_case!$B$2:$B$9,MATCH($B14,Minutes_by_use_case!$A$2:$A$9,0)),Current_DTE!O14),"-")</f>
        <v>796.60534611111109</v>
      </c>
      <c r="P14" s="108">
        <f>IFERROR(IF(ISBLANK(Current_DTE!P14),INDEX(Minutes_by_use_case!$B$2:$B$9,MATCH($B14,Minutes_by_use_case!$A$2:$A$9,0)),Current_DTE!P14),"-")</f>
        <v>796.60534611111109</v>
      </c>
      <c r="Q14" s="108">
        <f>IFERROR(IF(ISBLANK(Current_DTE!Q14),INDEX(Minutes_by_use_case!$B$2:$B$9,MATCH($B14,Minutes_by_use_case!$A$2:$A$9,0)),Current_DTE!Q14),"-")</f>
        <v>796.60534611111109</v>
      </c>
      <c r="R14" s="108">
        <f>IFERROR(IF(ISBLANK(Current_DTE!R14),INDEX(Minutes_by_use_case!$B$2:$B$9,MATCH($B14,Minutes_by_use_case!$A$2:$A$9,0)),Current_DTE!R14),"-")</f>
        <v>796.60534611111109</v>
      </c>
      <c r="S14" s="108">
        <f>IFERROR(IF(ISBLANK(Current_DTE!S14),INDEX(Minutes_by_use_case!$B$2:$B$9,MATCH($B14,Minutes_by_use_case!$A$2:$A$9,0)),Current_DTE!S14),"-")</f>
        <v>796.60534611111109</v>
      </c>
      <c r="T14" s="108">
        <f>IFERROR(IF(ISBLANK(Current_DTE!T14),INDEX(Minutes_by_use_case!$B$2:$B$9,MATCH($B14,Minutes_by_use_case!$A$2:$A$9,0)),Current_DTE!T14),"-")</f>
        <v>796.60534611111109</v>
      </c>
      <c r="U14" s="108">
        <f>IFERROR(IF(ISBLANK(Current_DTE!U14),INDEX(Minutes_by_use_case!$B$2:$B$9,MATCH($B14,Minutes_by_use_case!$A$2:$A$9,0)),Current_DTE!U14),"-")</f>
        <v>796.60534611111109</v>
      </c>
      <c r="V14" s="108">
        <f>IFERROR(IF(ISBLANK(Current_DTE!V14),INDEX(Minutes_by_use_case!$B$2:$B$9,MATCH($B14,Minutes_by_use_case!$A$2:$A$9,0)),Current_DTE!V14),"-")</f>
        <v>796.60534611111109</v>
      </c>
    </row>
    <row r="15" spans="1:22" x14ac:dyDescent="0.3">
      <c r="A15" s="44" t="s">
        <v>67</v>
      </c>
      <c r="B15" s="33" t="s">
        <v>40</v>
      </c>
      <c r="C15" s="108">
        <f>IFERROR(IF(ISBLANK(Current_DTE!C15),INDEX(Minutes_by_use_case!$B$2:$B$9,MATCH($B15,Minutes_by_use_case!$A$2:$A$9,0)),Current_DTE!C15),"-")</f>
        <v>2140.4341038095235</v>
      </c>
      <c r="D15" s="108">
        <f>IFERROR(IF(ISBLANK(Current_DTE!D15),INDEX(Minutes_by_use_case!$B$2:$B$9,MATCH($B15,Minutes_by_use_case!$A$2:$A$9,0)),Current_DTE!D15),"-")</f>
        <v>2140.4341038095235</v>
      </c>
      <c r="E15" s="108">
        <f>IFERROR(IF(ISBLANK(Current_DTE!E15),INDEX(Minutes_by_use_case!$B$2:$B$9,MATCH($B15,Minutes_by_use_case!$A$2:$A$9,0)),Current_DTE!E15),"-")</f>
        <v>2140.4341038095235</v>
      </c>
      <c r="F15" s="108">
        <f>IFERROR(IF(ISBLANK(Current_DTE!F15),INDEX(Minutes_by_use_case!$B$2:$B$9,MATCH($B15,Minutes_by_use_case!$A$2:$A$9,0)),Current_DTE!F15),"-")</f>
        <v>2140.4341038095235</v>
      </c>
      <c r="G15" s="108">
        <f>IFERROR(IF(ISBLANK(Current_DTE!G15),INDEX(Minutes_by_use_case!$B$2:$B$9,MATCH($B15,Minutes_by_use_case!$A$2:$A$9,0)),Current_DTE!G15),"-")</f>
        <v>2140.4341038095235</v>
      </c>
      <c r="H15" s="108">
        <f>IFERROR(IF(ISBLANK(Current_DTE!H15),INDEX(Minutes_by_use_case!$B$2:$B$9,MATCH($B15,Minutes_by_use_case!$A$2:$A$9,0)),Current_DTE!H15),"-")</f>
        <v>2140.4341038095235</v>
      </c>
      <c r="I15" s="108">
        <f>IFERROR(IF(ISBLANK(Current_DTE!I15),INDEX(Minutes_by_use_case!$B$2:$B$9,MATCH($B15,Minutes_by_use_case!$A$2:$A$9,0)),Current_DTE!I15),"-")</f>
        <v>2140.4341038095235</v>
      </c>
      <c r="J15" s="108">
        <f>IFERROR(IF(ISBLANK(Current_DTE!J15),INDEX(Minutes_by_use_case!$B$2:$B$9,MATCH($B15,Minutes_by_use_case!$A$2:$A$9,0)),Current_DTE!J15),"-")</f>
        <v>2140.4341038095235</v>
      </c>
      <c r="K15" s="108">
        <f>IFERROR(IF(ISBLANK(Current_DTE!K15),INDEX(Minutes_by_use_case!$B$2:$B$9,MATCH($B15,Minutes_by_use_case!$A$2:$A$9,0)),Current_DTE!K15),"-")</f>
        <v>2140.4341038095235</v>
      </c>
      <c r="L15" s="108">
        <f>IFERROR(IF(ISBLANK(Current_DTE!L15),INDEX(Minutes_by_use_case!$B$2:$B$9,MATCH($B15,Minutes_by_use_case!$A$2:$A$9,0)),Current_DTE!L15),"-")</f>
        <v>2140.4341038095235</v>
      </c>
      <c r="M15" s="108">
        <f>IFERROR(IF(ISBLANK(Current_DTE!M15),INDEX(Minutes_by_use_case!$B$2:$B$9,MATCH($B15,Minutes_by_use_case!$A$2:$A$9,0)),Current_DTE!M15),"-")</f>
        <v>2140.4341038095235</v>
      </c>
      <c r="N15" s="108">
        <f>IFERROR(IF(ISBLANK(Current_DTE!N15),INDEX(Minutes_by_use_case!$B$2:$B$9,MATCH($B15,Minutes_by_use_case!$A$2:$A$9,0)),Current_DTE!N15),"-")</f>
        <v>2140.4341038095235</v>
      </c>
      <c r="O15" s="108">
        <f>IFERROR(IF(ISBLANK(Current_DTE!O15),INDEX(Minutes_by_use_case!$B$2:$B$9,MATCH($B15,Minutes_by_use_case!$A$2:$A$9,0)),Current_DTE!O15),"-")</f>
        <v>2140.4341038095235</v>
      </c>
      <c r="P15" s="108">
        <f>IFERROR(IF(ISBLANK(Current_DTE!P15),INDEX(Minutes_by_use_case!$B$2:$B$9,MATCH($B15,Minutes_by_use_case!$A$2:$A$9,0)),Current_DTE!P15),"-")</f>
        <v>2140.4341038095235</v>
      </c>
      <c r="Q15" s="108">
        <f>IFERROR(IF(ISBLANK(Current_DTE!Q15),INDEX(Minutes_by_use_case!$B$2:$B$9,MATCH($B15,Minutes_by_use_case!$A$2:$A$9,0)),Current_DTE!Q15),"-")</f>
        <v>2140.4341038095235</v>
      </c>
      <c r="R15" s="108">
        <f>IFERROR(IF(ISBLANK(Current_DTE!R15),INDEX(Minutes_by_use_case!$B$2:$B$9,MATCH($B15,Minutes_by_use_case!$A$2:$A$9,0)),Current_DTE!R15),"-")</f>
        <v>2140.4341038095235</v>
      </c>
      <c r="S15" s="108">
        <f>IFERROR(IF(ISBLANK(Current_DTE!S15),INDEX(Minutes_by_use_case!$B$2:$B$9,MATCH($B15,Minutes_by_use_case!$A$2:$A$9,0)),Current_DTE!S15),"-")</f>
        <v>2140.4341038095235</v>
      </c>
      <c r="T15" s="108">
        <f>IFERROR(IF(ISBLANK(Current_DTE!T15),INDEX(Minutes_by_use_case!$B$2:$B$9,MATCH($B15,Minutes_by_use_case!$A$2:$A$9,0)),Current_DTE!T15),"-")</f>
        <v>2140.4341038095235</v>
      </c>
      <c r="U15" s="108">
        <f>IFERROR(IF(ISBLANK(Current_DTE!U15),INDEX(Minutes_by_use_case!$B$2:$B$9,MATCH($B15,Minutes_by_use_case!$A$2:$A$9,0)),Current_DTE!U15),"-")</f>
        <v>2140.4341038095235</v>
      </c>
      <c r="V15" s="108">
        <f>IFERROR(IF(ISBLANK(Current_DTE!V15),INDEX(Minutes_by_use_case!$B$2:$B$9,MATCH($B15,Minutes_by_use_case!$A$2:$A$9,0)),Current_DTE!V15),"-")</f>
        <v>2140.4341038095235</v>
      </c>
    </row>
    <row r="16" spans="1:22" x14ac:dyDescent="0.3">
      <c r="A16" s="44" t="s">
        <v>68</v>
      </c>
      <c r="B16" s="33" t="s">
        <v>40</v>
      </c>
      <c r="C16" s="108">
        <f>IFERROR(IF(ISBLANK(Current_DTE!C16),INDEX(Minutes_by_use_case!$B$2:$B$9,MATCH($B16,Minutes_by_use_case!$A$2:$A$9,0)),Current_DTE!C16),"-")</f>
        <v>2140.4341038095235</v>
      </c>
      <c r="D16" s="108">
        <f>IFERROR(IF(ISBLANK(Current_DTE!D16),INDEX(Minutes_by_use_case!$B$2:$B$9,MATCH($B16,Minutes_by_use_case!$A$2:$A$9,0)),Current_DTE!D16),"-")</f>
        <v>2140.4341038095235</v>
      </c>
      <c r="E16" s="108">
        <f>IFERROR(IF(ISBLANK(Current_DTE!E16),INDEX(Minutes_by_use_case!$B$2:$B$9,MATCH($B16,Minutes_by_use_case!$A$2:$A$9,0)),Current_DTE!E16),"-")</f>
        <v>2140.4341038095235</v>
      </c>
      <c r="F16" s="108">
        <f>IFERROR(IF(ISBLANK(Current_DTE!F16),INDEX(Minutes_by_use_case!$B$2:$B$9,MATCH($B16,Minutes_by_use_case!$A$2:$A$9,0)),Current_DTE!F16),"-")</f>
        <v>2140.4341038095235</v>
      </c>
      <c r="G16" s="108">
        <f>IFERROR(IF(ISBLANK(Current_DTE!G16),INDEX(Minutes_by_use_case!$B$2:$B$9,MATCH($B16,Minutes_by_use_case!$A$2:$A$9,0)),Current_DTE!G16),"-")</f>
        <v>2140.4341038095235</v>
      </c>
      <c r="H16" s="108">
        <f>IFERROR(IF(ISBLANK(Current_DTE!H16),INDEX(Minutes_by_use_case!$B$2:$B$9,MATCH($B16,Minutes_by_use_case!$A$2:$A$9,0)),Current_DTE!H16),"-")</f>
        <v>2140.4341038095235</v>
      </c>
      <c r="I16" s="108">
        <f>IFERROR(IF(ISBLANK(Current_DTE!I16),INDEX(Minutes_by_use_case!$B$2:$B$9,MATCH($B16,Minutes_by_use_case!$A$2:$A$9,0)),Current_DTE!I16),"-")</f>
        <v>2140.4341038095235</v>
      </c>
      <c r="J16" s="108">
        <f>IFERROR(IF(ISBLANK(Current_DTE!J16),INDEX(Minutes_by_use_case!$B$2:$B$9,MATCH($B16,Minutes_by_use_case!$A$2:$A$9,0)),Current_DTE!J16),"-")</f>
        <v>2140.4341038095235</v>
      </c>
      <c r="K16" s="108">
        <f>IFERROR(IF(ISBLANK(Current_DTE!K16),INDEX(Minutes_by_use_case!$B$2:$B$9,MATCH($B16,Minutes_by_use_case!$A$2:$A$9,0)),Current_DTE!K16),"-")</f>
        <v>2140.4341038095235</v>
      </c>
      <c r="L16" s="108">
        <f>IFERROR(IF(ISBLANK(Current_DTE!L16),INDEX(Minutes_by_use_case!$B$2:$B$9,MATCH($B16,Minutes_by_use_case!$A$2:$A$9,0)),Current_DTE!L16),"-")</f>
        <v>2140.4341038095235</v>
      </c>
      <c r="M16" s="108">
        <f>IFERROR(IF(ISBLANK(Current_DTE!M16),INDEX(Minutes_by_use_case!$B$2:$B$9,MATCH($B16,Minutes_by_use_case!$A$2:$A$9,0)),Current_DTE!M16),"-")</f>
        <v>2140.4341038095235</v>
      </c>
      <c r="N16" s="108">
        <f>IFERROR(IF(ISBLANK(Current_DTE!N16),INDEX(Minutes_by_use_case!$B$2:$B$9,MATCH($B16,Minutes_by_use_case!$A$2:$A$9,0)),Current_DTE!N16),"-")</f>
        <v>2140.4341038095235</v>
      </c>
      <c r="O16" s="108">
        <f>IFERROR(IF(ISBLANK(Current_DTE!O16),INDEX(Minutes_by_use_case!$B$2:$B$9,MATCH($B16,Minutes_by_use_case!$A$2:$A$9,0)),Current_DTE!O16),"-")</f>
        <v>2140.4341038095235</v>
      </c>
      <c r="P16" s="108">
        <f>IFERROR(IF(ISBLANK(Current_DTE!P16),INDEX(Minutes_by_use_case!$B$2:$B$9,MATCH($B16,Minutes_by_use_case!$A$2:$A$9,0)),Current_DTE!P16),"-")</f>
        <v>2140.4341038095235</v>
      </c>
      <c r="Q16" s="108">
        <f>IFERROR(IF(ISBLANK(Current_DTE!Q16),INDEX(Minutes_by_use_case!$B$2:$B$9,MATCH($B16,Minutes_by_use_case!$A$2:$A$9,0)),Current_DTE!Q16),"-")</f>
        <v>2140.4341038095235</v>
      </c>
      <c r="R16" s="108">
        <f>IFERROR(IF(ISBLANK(Current_DTE!R16),INDEX(Minutes_by_use_case!$B$2:$B$9,MATCH($B16,Minutes_by_use_case!$A$2:$A$9,0)),Current_DTE!R16),"-")</f>
        <v>2140.4341038095235</v>
      </c>
      <c r="S16" s="108">
        <f>IFERROR(IF(ISBLANK(Current_DTE!S16),INDEX(Minutes_by_use_case!$B$2:$B$9,MATCH($B16,Minutes_by_use_case!$A$2:$A$9,0)),Current_DTE!S16),"-")</f>
        <v>2140.4341038095235</v>
      </c>
      <c r="T16" s="108">
        <f>IFERROR(IF(ISBLANK(Current_DTE!T16),INDEX(Minutes_by_use_case!$B$2:$B$9,MATCH($B16,Minutes_by_use_case!$A$2:$A$9,0)),Current_DTE!T16),"-")</f>
        <v>2140.4341038095235</v>
      </c>
      <c r="U16" s="108">
        <f>IFERROR(IF(ISBLANK(Current_DTE!U16),INDEX(Minutes_by_use_case!$B$2:$B$9,MATCH($B16,Minutes_by_use_case!$A$2:$A$9,0)),Current_DTE!U16),"-")</f>
        <v>2140.4341038095235</v>
      </c>
      <c r="V16" s="108">
        <f>IFERROR(IF(ISBLANK(Current_DTE!V16),INDEX(Minutes_by_use_case!$B$2:$B$9,MATCH($B16,Minutes_by_use_case!$A$2:$A$9,0)),Current_DTE!V16),"-")</f>
        <v>2140.4341038095235</v>
      </c>
    </row>
    <row r="17" spans="1:22" x14ac:dyDescent="0.3">
      <c r="A17" s="44" t="s">
        <v>69</v>
      </c>
      <c r="B17" s="33" t="s">
        <v>40</v>
      </c>
      <c r="C17" s="108">
        <f>IFERROR(IF(ISBLANK(Current_DTE!C17),INDEX(Minutes_by_use_case!$B$2:$B$9,MATCH($B17,Minutes_by_use_case!$A$2:$A$9,0)),Current_DTE!C17),"-")</f>
        <v>2140.4341038095235</v>
      </c>
      <c r="D17" s="108">
        <f>IFERROR(IF(ISBLANK(Current_DTE!D17),INDEX(Minutes_by_use_case!$B$2:$B$9,MATCH($B17,Minutes_by_use_case!$A$2:$A$9,0)),Current_DTE!D17),"-")</f>
        <v>2140.4341038095235</v>
      </c>
      <c r="E17" s="108">
        <f>IFERROR(IF(ISBLANK(Current_DTE!E17),INDEX(Minutes_by_use_case!$B$2:$B$9,MATCH($B17,Minutes_by_use_case!$A$2:$A$9,0)),Current_DTE!E17),"-")</f>
        <v>2140.4341038095235</v>
      </c>
      <c r="F17" s="108">
        <f>IFERROR(IF(ISBLANK(Current_DTE!F17),INDEX(Minutes_by_use_case!$B$2:$B$9,MATCH($B17,Minutes_by_use_case!$A$2:$A$9,0)),Current_DTE!F17),"-")</f>
        <v>2140.4341038095235</v>
      </c>
      <c r="G17" s="108">
        <f>IFERROR(IF(ISBLANK(Current_DTE!G17),INDEX(Minutes_by_use_case!$B$2:$B$9,MATCH($B17,Minutes_by_use_case!$A$2:$A$9,0)),Current_DTE!G17),"-")</f>
        <v>2140.4341038095235</v>
      </c>
      <c r="H17" s="108">
        <f>IFERROR(IF(ISBLANK(Current_DTE!H17),INDEX(Minutes_by_use_case!$B$2:$B$9,MATCH($B17,Minutes_by_use_case!$A$2:$A$9,0)),Current_DTE!H17),"-")</f>
        <v>2140.4341038095235</v>
      </c>
      <c r="I17" s="108">
        <f>IFERROR(IF(ISBLANK(Current_DTE!I17),INDEX(Minutes_by_use_case!$B$2:$B$9,MATCH($B17,Minutes_by_use_case!$A$2:$A$9,0)),Current_DTE!I17),"-")</f>
        <v>2140.4341038095235</v>
      </c>
      <c r="J17" s="108">
        <f>IFERROR(IF(ISBLANK(Current_DTE!J17),INDEX(Minutes_by_use_case!$B$2:$B$9,MATCH($B17,Minutes_by_use_case!$A$2:$A$9,0)),Current_DTE!J17),"-")</f>
        <v>2140.4341038095235</v>
      </c>
      <c r="K17" s="108">
        <f>IFERROR(IF(ISBLANK(Current_DTE!K17),INDEX(Minutes_by_use_case!$B$2:$B$9,MATCH($B17,Minutes_by_use_case!$A$2:$A$9,0)),Current_DTE!K17),"-")</f>
        <v>2140.4341038095235</v>
      </c>
      <c r="L17" s="108">
        <f>IFERROR(IF(ISBLANK(Current_DTE!L17),INDEX(Minutes_by_use_case!$B$2:$B$9,MATCH($B17,Minutes_by_use_case!$A$2:$A$9,0)),Current_DTE!L17),"-")</f>
        <v>2140.4341038095235</v>
      </c>
      <c r="M17" s="108">
        <f>IFERROR(IF(ISBLANK(Current_DTE!M17),INDEX(Minutes_by_use_case!$B$2:$B$9,MATCH($B17,Minutes_by_use_case!$A$2:$A$9,0)),Current_DTE!M17),"-")</f>
        <v>2140.4341038095235</v>
      </c>
      <c r="N17" s="108">
        <f>IFERROR(IF(ISBLANK(Current_DTE!N17),INDEX(Minutes_by_use_case!$B$2:$B$9,MATCH($B17,Minutes_by_use_case!$A$2:$A$9,0)),Current_DTE!N17),"-")</f>
        <v>2140.4341038095235</v>
      </c>
      <c r="O17" s="108">
        <f>IFERROR(IF(ISBLANK(Current_DTE!O17),INDEX(Minutes_by_use_case!$B$2:$B$9,MATCH($B17,Minutes_by_use_case!$A$2:$A$9,0)),Current_DTE!O17),"-")</f>
        <v>2140.4341038095235</v>
      </c>
      <c r="P17" s="108">
        <f>IFERROR(IF(ISBLANK(Current_DTE!P17),INDEX(Minutes_by_use_case!$B$2:$B$9,MATCH($B17,Minutes_by_use_case!$A$2:$A$9,0)),Current_DTE!P17),"-")</f>
        <v>2140.4341038095235</v>
      </c>
      <c r="Q17" s="108">
        <f>IFERROR(IF(ISBLANK(Current_DTE!Q17),INDEX(Minutes_by_use_case!$B$2:$B$9,MATCH($B17,Minutes_by_use_case!$A$2:$A$9,0)),Current_DTE!Q17),"-")</f>
        <v>2140.4341038095235</v>
      </c>
      <c r="R17" s="108">
        <f>IFERROR(IF(ISBLANK(Current_DTE!R17),INDEX(Minutes_by_use_case!$B$2:$B$9,MATCH($B17,Minutes_by_use_case!$A$2:$A$9,0)),Current_DTE!R17),"-")</f>
        <v>2140.4341038095235</v>
      </c>
      <c r="S17" s="108">
        <f>IFERROR(IF(ISBLANK(Current_DTE!S17),INDEX(Minutes_by_use_case!$B$2:$B$9,MATCH($B17,Minutes_by_use_case!$A$2:$A$9,0)),Current_DTE!S17),"-")</f>
        <v>2140.4341038095235</v>
      </c>
      <c r="T17" s="108">
        <f>IFERROR(IF(ISBLANK(Current_DTE!T17),INDEX(Minutes_by_use_case!$B$2:$B$9,MATCH($B17,Minutes_by_use_case!$A$2:$A$9,0)),Current_DTE!T17),"-")</f>
        <v>2140.4341038095235</v>
      </c>
      <c r="U17" s="108">
        <f>IFERROR(IF(ISBLANK(Current_DTE!U17),INDEX(Minutes_by_use_case!$B$2:$B$9,MATCH($B17,Minutes_by_use_case!$A$2:$A$9,0)),Current_DTE!U17),"-")</f>
        <v>2140.4341038095235</v>
      </c>
      <c r="V17" s="108">
        <f>IFERROR(IF(ISBLANK(Current_DTE!V17),INDEX(Minutes_by_use_case!$B$2:$B$9,MATCH($B17,Minutes_by_use_case!$A$2:$A$9,0)),Current_DTE!V17),"-")</f>
        <v>2140.4341038095235</v>
      </c>
    </row>
    <row r="18" spans="1:22" x14ac:dyDescent="0.3">
      <c r="A18" s="44" t="s">
        <v>70</v>
      </c>
      <c r="B18" s="33" t="s">
        <v>40</v>
      </c>
      <c r="C18" s="108">
        <f>IFERROR(IF(ISBLANK(Current_DTE!C18),INDEX(Minutes_by_use_case!$B$2:$B$9,MATCH($B18,Minutes_by_use_case!$A$2:$A$9,0)),Current_DTE!C18),"-")</f>
        <v>2140.4341038095235</v>
      </c>
      <c r="D18" s="108">
        <f>IFERROR(IF(ISBLANK(Current_DTE!D18),INDEX(Minutes_by_use_case!$B$2:$B$9,MATCH($B18,Minutes_by_use_case!$A$2:$A$9,0)),Current_DTE!D18),"-")</f>
        <v>2140.4341038095235</v>
      </c>
      <c r="E18" s="108">
        <f>IFERROR(IF(ISBLANK(Current_DTE!E18),INDEX(Minutes_by_use_case!$B$2:$B$9,MATCH($B18,Minutes_by_use_case!$A$2:$A$9,0)),Current_DTE!E18),"-")</f>
        <v>2140.4341038095235</v>
      </c>
      <c r="F18" s="108">
        <f>IFERROR(IF(ISBLANK(Current_DTE!F18),INDEX(Minutes_by_use_case!$B$2:$B$9,MATCH($B18,Minutes_by_use_case!$A$2:$A$9,0)),Current_DTE!F18),"-")</f>
        <v>2140.4341038095235</v>
      </c>
      <c r="G18" s="108">
        <f>IFERROR(IF(ISBLANK(Current_DTE!G18),INDEX(Minutes_by_use_case!$B$2:$B$9,MATCH($B18,Minutes_by_use_case!$A$2:$A$9,0)),Current_DTE!G18),"-")</f>
        <v>2140.4341038095235</v>
      </c>
      <c r="H18" s="108">
        <f>IFERROR(IF(ISBLANK(Current_DTE!H18),INDEX(Minutes_by_use_case!$B$2:$B$9,MATCH($B18,Minutes_by_use_case!$A$2:$A$9,0)),Current_DTE!H18),"-")</f>
        <v>2140.4341038095235</v>
      </c>
      <c r="I18" s="108">
        <f>IFERROR(IF(ISBLANK(Current_DTE!I18),INDEX(Minutes_by_use_case!$B$2:$B$9,MATCH($B18,Minutes_by_use_case!$A$2:$A$9,0)),Current_DTE!I18),"-")</f>
        <v>2140.4341038095235</v>
      </c>
      <c r="J18" s="108">
        <f>IFERROR(IF(ISBLANK(Current_DTE!J18),INDEX(Minutes_by_use_case!$B$2:$B$9,MATCH($B18,Minutes_by_use_case!$A$2:$A$9,0)),Current_DTE!J18),"-")</f>
        <v>2140.4341038095235</v>
      </c>
      <c r="K18" s="108">
        <f>IFERROR(IF(ISBLANK(Current_DTE!K18),INDEX(Minutes_by_use_case!$B$2:$B$9,MATCH($B18,Minutes_by_use_case!$A$2:$A$9,0)),Current_DTE!K18),"-")</f>
        <v>2140.4341038095235</v>
      </c>
      <c r="L18" s="108">
        <f>IFERROR(IF(ISBLANK(Current_DTE!L18),INDEX(Minutes_by_use_case!$B$2:$B$9,MATCH($B18,Minutes_by_use_case!$A$2:$A$9,0)),Current_DTE!L18),"-")</f>
        <v>2140.4341038095235</v>
      </c>
      <c r="M18" s="108">
        <f>IFERROR(IF(ISBLANK(Current_DTE!M18),INDEX(Minutes_by_use_case!$B$2:$B$9,MATCH($B18,Minutes_by_use_case!$A$2:$A$9,0)),Current_DTE!M18),"-")</f>
        <v>2140.4341038095235</v>
      </c>
      <c r="N18" s="108">
        <f>IFERROR(IF(ISBLANK(Current_DTE!N18),INDEX(Minutes_by_use_case!$B$2:$B$9,MATCH($B18,Minutes_by_use_case!$A$2:$A$9,0)),Current_DTE!N18),"-")</f>
        <v>2140.4341038095235</v>
      </c>
      <c r="O18" s="108">
        <f>IFERROR(IF(ISBLANK(Current_DTE!O18),INDEX(Minutes_by_use_case!$B$2:$B$9,MATCH($B18,Minutes_by_use_case!$A$2:$A$9,0)),Current_DTE!O18),"-")</f>
        <v>2140.4341038095235</v>
      </c>
      <c r="P18" s="108">
        <f>IFERROR(IF(ISBLANK(Current_DTE!P18),INDEX(Minutes_by_use_case!$B$2:$B$9,MATCH($B18,Minutes_by_use_case!$A$2:$A$9,0)),Current_DTE!P18),"-")</f>
        <v>2140.4341038095235</v>
      </c>
      <c r="Q18" s="108">
        <f>IFERROR(IF(ISBLANK(Current_DTE!Q18),INDEX(Minutes_by_use_case!$B$2:$B$9,MATCH($B18,Minutes_by_use_case!$A$2:$A$9,0)),Current_DTE!Q18),"-")</f>
        <v>2140.4341038095235</v>
      </c>
      <c r="R18" s="108">
        <f>IFERROR(IF(ISBLANK(Current_DTE!R18),INDEX(Minutes_by_use_case!$B$2:$B$9,MATCH($B18,Minutes_by_use_case!$A$2:$A$9,0)),Current_DTE!R18),"-")</f>
        <v>2140.4341038095235</v>
      </c>
      <c r="S18" s="108">
        <f>IFERROR(IF(ISBLANK(Current_DTE!S18),INDEX(Minutes_by_use_case!$B$2:$B$9,MATCH($B18,Minutes_by_use_case!$A$2:$A$9,0)),Current_DTE!S18),"-")</f>
        <v>2140.4341038095235</v>
      </c>
      <c r="T18" s="108">
        <f>IFERROR(IF(ISBLANK(Current_DTE!T18),INDEX(Minutes_by_use_case!$B$2:$B$9,MATCH($B18,Minutes_by_use_case!$A$2:$A$9,0)),Current_DTE!T18),"-")</f>
        <v>2140.4341038095235</v>
      </c>
      <c r="U18" s="108">
        <f>IFERROR(IF(ISBLANK(Current_DTE!U18),INDEX(Minutes_by_use_case!$B$2:$B$9,MATCH($B18,Minutes_by_use_case!$A$2:$A$9,0)),Current_DTE!U18),"-")</f>
        <v>2140.4341038095235</v>
      </c>
      <c r="V18" s="108">
        <f>IFERROR(IF(ISBLANK(Current_DTE!V18),INDEX(Minutes_by_use_case!$B$2:$B$9,MATCH($B18,Minutes_by_use_case!$A$2:$A$9,0)),Current_DTE!V18),"-")</f>
        <v>2140.4341038095235</v>
      </c>
    </row>
    <row r="19" spans="1:22" x14ac:dyDescent="0.3">
      <c r="A19" s="32" t="s">
        <v>20</v>
      </c>
      <c r="B19" s="33" t="s">
        <v>41</v>
      </c>
      <c r="C19" s="108">
        <f>IFERROR(IF(ISBLANK(Current_DTE!C19),INDEX(Minutes_by_use_case!$B$2:$B$9,MATCH($B19,Minutes_by_use_case!$A$2:$A$9,0)),Current_DTE!C19),"-")</f>
        <v>3121.1464916666664</v>
      </c>
      <c r="D19" s="108">
        <f>IFERROR(IF(ISBLANK(Current_DTE!D19),INDEX(Minutes_by_use_case!$B$2:$B$9,MATCH($B19,Minutes_by_use_case!$A$2:$A$9,0)),Current_DTE!D19),"-")</f>
        <v>3157.8943527777778</v>
      </c>
      <c r="E19" s="108">
        <f>IFERROR(IF(ISBLANK(Current_DTE!E19),INDEX(Minutes_by_use_case!$B$2:$B$9,MATCH($B19,Minutes_by_use_case!$A$2:$A$9,0)),Current_DTE!E19),"-")</f>
        <v>2937.5030555555554</v>
      </c>
      <c r="F19" s="108">
        <f>IFERROR(IF(ISBLANK(Current_DTE!F19),INDEX(Minutes_by_use_case!$B$2:$B$9,MATCH($B19,Minutes_by_use_case!$A$2:$A$9,0)),Current_DTE!F19),"-")</f>
        <v>3137.9728877777775</v>
      </c>
      <c r="G19" s="108">
        <f>IFERROR(IF(ISBLANK(Current_DTE!G19),INDEX(Minutes_by_use_case!$B$2:$B$9,MATCH($B19,Minutes_by_use_case!$A$2:$A$9,0)),Current_DTE!G19),"-")</f>
        <v>3137.9728877777775</v>
      </c>
      <c r="H19" s="108">
        <f>IFERROR(IF(ISBLANK(Current_DTE!H19),INDEX(Minutes_by_use_case!$B$2:$B$9,MATCH($B19,Minutes_by_use_case!$A$2:$A$9,0)),Current_DTE!H19),"-")</f>
        <v>3137.9728877777775</v>
      </c>
      <c r="I19" s="108">
        <f>IFERROR(IF(ISBLANK(Current_DTE!I19),INDEX(Minutes_by_use_case!$B$2:$B$9,MATCH($B19,Minutes_by_use_case!$A$2:$A$9,0)),Current_DTE!I19),"-")</f>
        <v>3137.9728877777775</v>
      </c>
      <c r="J19" s="108">
        <f>IFERROR(IF(ISBLANK(Current_DTE!J19),INDEX(Minutes_by_use_case!$B$2:$B$9,MATCH($B19,Minutes_by_use_case!$A$2:$A$9,0)),Current_DTE!J19),"-")</f>
        <v>3137.9728877777775</v>
      </c>
      <c r="K19" s="108">
        <f>IFERROR(IF(ISBLANK(Current_DTE!K19),INDEX(Minutes_by_use_case!$B$2:$B$9,MATCH($B19,Minutes_by_use_case!$A$2:$A$9,0)),Current_DTE!K19),"-")</f>
        <v>3137.9728877777775</v>
      </c>
      <c r="L19" s="108">
        <f>IFERROR(IF(ISBLANK(Current_DTE!L19),INDEX(Minutes_by_use_case!$B$2:$B$9,MATCH($B19,Minutes_by_use_case!$A$2:$A$9,0)),Current_DTE!L19),"-")</f>
        <v>3137.9728877777775</v>
      </c>
      <c r="M19" s="108">
        <f>IFERROR(IF(ISBLANK(Current_DTE!M19),INDEX(Minutes_by_use_case!$B$2:$B$9,MATCH($B19,Minutes_by_use_case!$A$2:$A$9,0)),Current_DTE!M19),"-")</f>
        <v>3137.9728877777775</v>
      </c>
      <c r="N19" s="108">
        <f>IFERROR(IF(ISBLANK(Current_DTE!N19),INDEX(Minutes_by_use_case!$B$2:$B$9,MATCH($B19,Minutes_by_use_case!$A$2:$A$9,0)),Current_DTE!N19),"-")</f>
        <v>3137.9728877777775</v>
      </c>
      <c r="O19" s="108">
        <f>IFERROR(IF(ISBLANK(Current_DTE!O19),INDEX(Minutes_by_use_case!$B$2:$B$9,MATCH($B19,Minutes_by_use_case!$A$2:$A$9,0)),Current_DTE!O19),"-")</f>
        <v>3137.9728877777775</v>
      </c>
      <c r="P19" s="108">
        <f>IFERROR(IF(ISBLANK(Current_DTE!P19),INDEX(Minutes_by_use_case!$B$2:$B$9,MATCH($B19,Minutes_by_use_case!$A$2:$A$9,0)),Current_DTE!P19),"-")</f>
        <v>3137.9728877777775</v>
      </c>
      <c r="Q19" s="108">
        <f>IFERROR(IF(ISBLANK(Current_DTE!Q19),INDEX(Minutes_by_use_case!$B$2:$B$9,MATCH($B19,Minutes_by_use_case!$A$2:$A$9,0)),Current_DTE!Q19),"-")</f>
        <v>3137.9728877777775</v>
      </c>
      <c r="R19" s="108">
        <f>IFERROR(IF(ISBLANK(Current_DTE!R19),INDEX(Minutes_by_use_case!$B$2:$B$9,MATCH($B19,Minutes_by_use_case!$A$2:$A$9,0)),Current_DTE!R19),"-")</f>
        <v>3137.9728877777775</v>
      </c>
      <c r="S19" s="108">
        <f>IFERROR(IF(ISBLANK(Current_DTE!S19),INDEX(Minutes_by_use_case!$B$2:$B$9,MATCH($B19,Minutes_by_use_case!$A$2:$A$9,0)),Current_DTE!S19),"-")</f>
        <v>3137.9728877777775</v>
      </c>
      <c r="T19" s="108">
        <f>IFERROR(IF(ISBLANK(Current_DTE!T19),INDEX(Minutes_by_use_case!$B$2:$B$9,MATCH($B19,Minutes_by_use_case!$A$2:$A$9,0)),Current_DTE!T19),"-")</f>
        <v>3137.9728877777775</v>
      </c>
      <c r="U19" s="108">
        <f>IFERROR(IF(ISBLANK(Current_DTE!U19),INDEX(Minutes_by_use_case!$B$2:$B$9,MATCH($B19,Minutes_by_use_case!$A$2:$A$9,0)),Current_DTE!U19),"-")</f>
        <v>3137.9728877777775</v>
      </c>
      <c r="V19" s="108">
        <f>IFERROR(IF(ISBLANK(Current_DTE!V19),INDEX(Minutes_by_use_case!$B$2:$B$9,MATCH($B19,Minutes_by_use_case!$A$2:$A$9,0)),Current_DTE!V19),"-")</f>
        <v>3137.9728877777775</v>
      </c>
    </row>
    <row r="20" spans="1:22" x14ac:dyDescent="0.3">
      <c r="A20" s="32" t="s">
        <v>21</v>
      </c>
      <c r="B20" s="33" t="s">
        <v>41</v>
      </c>
      <c r="C20" s="108">
        <f>IFERROR(IF(ISBLANK(Current_DTE!C20),INDEX(Minutes_by_use_case!$B$2:$B$9,MATCH($B20,Minutes_by_use_case!$A$2:$A$9,0)),Current_DTE!C20),"-")</f>
        <v>3653.0924999999997</v>
      </c>
      <c r="D20" s="108">
        <f>IFERROR(IF(ISBLANK(Current_DTE!D20),INDEX(Minutes_by_use_case!$B$2:$B$9,MATCH($B20,Minutes_by_use_case!$A$2:$A$9,0)),Current_DTE!D20),"-")</f>
        <v>3468.0533333333337</v>
      </c>
      <c r="E20" s="108">
        <f>IFERROR(IF(ISBLANK(Current_DTE!E20),INDEX(Minutes_by_use_case!$B$2:$B$9,MATCH($B20,Minutes_by_use_case!$A$2:$A$9,0)),Current_DTE!E20),"-")</f>
        <v>3224.0014777777778</v>
      </c>
      <c r="F20" s="108">
        <f>IFERROR(IF(ISBLANK(Current_DTE!F20),INDEX(Minutes_by_use_case!$B$2:$B$9,MATCH($B20,Minutes_by_use_case!$A$2:$A$9,0)),Current_DTE!F20),"-")</f>
        <v>3454.7784394444448</v>
      </c>
      <c r="G20" s="108">
        <f>IFERROR(IF(ISBLANK(Current_DTE!G20),INDEX(Minutes_by_use_case!$B$2:$B$9,MATCH($B20,Minutes_by_use_case!$A$2:$A$9,0)),Current_DTE!G20),"-")</f>
        <v>3454.7784394444448</v>
      </c>
      <c r="H20" s="108">
        <f>IFERROR(IF(ISBLANK(Current_DTE!H20),INDEX(Minutes_by_use_case!$B$2:$B$9,MATCH($B20,Minutes_by_use_case!$A$2:$A$9,0)),Current_DTE!H20),"-")</f>
        <v>3454.7784394444448</v>
      </c>
      <c r="I20" s="108">
        <f>IFERROR(IF(ISBLANK(Current_DTE!I20),INDEX(Minutes_by_use_case!$B$2:$B$9,MATCH($B20,Minutes_by_use_case!$A$2:$A$9,0)),Current_DTE!I20),"-")</f>
        <v>3454.7784394444448</v>
      </c>
      <c r="J20" s="108">
        <f>IFERROR(IF(ISBLANK(Current_DTE!J20),INDEX(Minutes_by_use_case!$B$2:$B$9,MATCH($B20,Minutes_by_use_case!$A$2:$A$9,0)),Current_DTE!J20),"-")</f>
        <v>3454.7784394444448</v>
      </c>
      <c r="K20" s="108">
        <f>IFERROR(IF(ISBLANK(Current_DTE!K20),INDEX(Minutes_by_use_case!$B$2:$B$9,MATCH($B20,Minutes_by_use_case!$A$2:$A$9,0)),Current_DTE!K20),"-")</f>
        <v>3454.7784394444448</v>
      </c>
      <c r="L20" s="108">
        <f>IFERROR(IF(ISBLANK(Current_DTE!L20),INDEX(Minutes_by_use_case!$B$2:$B$9,MATCH($B20,Minutes_by_use_case!$A$2:$A$9,0)),Current_DTE!L20),"-")</f>
        <v>3454.7784394444448</v>
      </c>
      <c r="M20" s="108">
        <f>IFERROR(IF(ISBLANK(Current_DTE!M20),INDEX(Minutes_by_use_case!$B$2:$B$9,MATCH($B20,Minutes_by_use_case!$A$2:$A$9,0)),Current_DTE!M20),"-")</f>
        <v>3454.7784394444448</v>
      </c>
      <c r="N20" s="108">
        <f>IFERROR(IF(ISBLANK(Current_DTE!N20),INDEX(Minutes_by_use_case!$B$2:$B$9,MATCH($B20,Minutes_by_use_case!$A$2:$A$9,0)),Current_DTE!N20),"-")</f>
        <v>3454.7784394444448</v>
      </c>
      <c r="O20" s="108">
        <f>IFERROR(IF(ISBLANK(Current_DTE!O20),INDEX(Minutes_by_use_case!$B$2:$B$9,MATCH($B20,Minutes_by_use_case!$A$2:$A$9,0)),Current_DTE!O20),"-")</f>
        <v>3454.7784394444448</v>
      </c>
      <c r="P20" s="108">
        <f>IFERROR(IF(ISBLANK(Current_DTE!P20),INDEX(Minutes_by_use_case!$B$2:$B$9,MATCH($B20,Minutes_by_use_case!$A$2:$A$9,0)),Current_DTE!P20),"-")</f>
        <v>3454.7784394444448</v>
      </c>
      <c r="Q20" s="108">
        <f>IFERROR(IF(ISBLANK(Current_DTE!Q20),INDEX(Minutes_by_use_case!$B$2:$B$9,MATCH($B20,Minutes_by_use_case!$A$2:$A$9,0)),Current_DTE!Q20),"-")</f>
        <v>3454.7784394444448</v>
      </c>
      <c r="R20" s="108">
        <f>IFERROR(IF(ISBLANK(Current_DTE!R20),INDEX(Minutes_by_use_case!$B$2:$B$9,MATCH($B20,Minutes_by_use_case!$A$2:$A$9,0)),Current_DTE!R20),"-")</f>
        <v>3454.7784394444448</v>
      </c>
      <c r="S20" s="108">
        <f>IFERROR(IF(ISBLANK(Current_DTE!S20),INDEX(Minutes_by_use_case!$B$2:$B$9,MATCH($B20,Minutes_by_use_case!$A$2:$A$9,0)),Current_DTE!S20),"-")</f>
        <v>3454.7784394444448</v>
      </c>
      <c r="T20" s="108">
        <f>IFERROR(IF(ISBLANK(Current_DTE!T20),INDEX(Minutes_by_use_case!$B$2:$B$9,MATCH($B20,Minutes_by_use_case!$A$2:$A$9,0)),Current_DTE!T20),"-")</f>
        <v>3454.7784394444448</v>
      </c>
      <c r="U20" s="108">
        <f>IFERROR(IF(ISBLANK(Current_DTE!U20),INDEX(Minutes_by_use_case!$B$2:$B$9,MATCH($B20,Minutes_by_use_case!$A$2:$A$9,0)),Current_DTE!U20),"-")</f>
        <v>3454.7784394444448</v>
      </c>
      <c r="V20" s="108">
        <f>IFERROR(IF(ISBLANK(Current_DTE!V20),INDEX(Minutes_by_use_case!$B$2:$B$9,MATCH($B20,Minutes_by_use_case!$A$2:$A$9,0)),Current_DTE!V20),"-")</f>
        <v>3454.7784394444448</v>
      </c>
    </row>
    <row r="21" spans="1:22" x14ac:dyDescent="0.3">
      <c r="A21" s="32" t="s">
        <v>24</v>
      </c>
      <c r="B21" s="45" t="s">
        <v>42</v>
      </c>
      <c r="C21" s="108">
        <f>IFERROR(IF(ISBLANK(Current_DTE!C21),INDEX(Minutes_by_use_case!$B$2:$B$9,MATCH($B21,Minutes_by_use_case!$A$2:$A$9,0)),Current_DTE!C21),"-")</f>
        <v>721.11352444444435</v>
      </c>
      <c r="D21" s="108">
        <f>IFERROR(IF(ISBLANK(Current_DTE!D21),INDEX(Minutes_by_use_case!$B$2:$B$9,MATCH($B21,Minutes_by_use_case!$A$2:$A$9,0)),Current_DTE!D21),"-")</f>
        <v>721.11352444444435</v>
      </c>
      <c r="E21" s="108">
        <f>IFERROR(IF(ISBLANK(Current_DTE!E21),INDEX(Minutes_by_use_case!$B$2:$B$9,MATCH($B21,Minutes_by_use_case!$A$2:$A$9,0)),Current_DTE!E21),"-")</f>
        <v>721.11352444444435</v>
      </c>
      <c r="F21" s="108">
        <f>IFERROR(IF(ISBLANK(Current_DTE!F21),INDEX(Minutes_by_use_case!$B$2:$B$9,MATCH($B21,Minutes_by_use_case!$A$2:$A$9,0)),Current_DTE!F21),"-")</f>
        <v>721.11352444444435</v>
      </c>
      <c r="G21" s="108">
        <f>IFERROR(IF(ISBLANK(Current_DTE!G21),INDEX(Minutes_by_use_case!$B$2:$B$9,MATCH($B21,Minutes_by_use_case!$A$2:$A$9,0)),Current_DTE!G21),"-")</f>
        <v>721.11352444444435</v>
      </c>
      <c r="H21" s="108">
        <f>IFERROR(IF(ISBLANK(Current_DTE!H21),INDEX(Minutes_by_use_case!$B$2:$B$9,MATCH($B21,Minutes_by_use_case!$A$2:$A$9,0)),Current_DTE!H21),"-")</f>
        <v>721.11352444444435</v>
      </c>
      <c r="I21" s="108">
        <f>IFERROR(IF(ISBLANK(Current_DTE!I21),INDEX(Minutes_by_use_case!$B$2:$B$9,MATCH($B21,Minutes_by_use_case!$A$2:$A$9,0)),Current_DTE!I21),"-")</f>
        <v>721.11352444444435</v>
      </c>
      <c r="J21" s="108">
        <f>IFERROR(IF(ISBLANK(Current_DTE!J21),INDEX(Minutes_by_use_case!$B$2:$B$9,MATCH($B21,Minutes_by_use_case!$A$2:$A$9,0)),Current_DTE!J21),"-")</f>
        <v>721.11352444444435</v>
      </c>
      <c r="K21" s="108">
        <f>IFERROR(IF(ISBLANK(Current_DTE!K21),INDEX(Minutes_by_use_case!$B$2:$B$9,MATCH($B21,Minutes_by_use_case!$A$2:$A$9,0)),Current_DTE!K21),"-")</f>
        <v>721.11352444444435</v>
      </c>
      <c r="L21" s="108">
        <f>IFERROR(IF(ISBLANK(Current_DTE!L21),INDEX(Minutes_by_use_case!$B$2:$B$9,MATCH($B21,Minutes_by_use_case!$A$2:$A$9,0)),Current_DTE!L21),"-")</f>
        <v>721.11352444444435</v>
      </c>
      <c r="M21" s="108">
        <f>IFERROR(IF(ISBLANK(Current_DTE!M21),INDEX(Minutes_by_use_case!$B$2:$B$9,MATCH($B21,Minutes_by_use_case!$A$2:$A$9,0)),Current_DTE!M21),"-")</f>
        <v>721.11352444444435</v>
      </c>
      <c r="N21" s="108">
        <f>IFERROR(IF(ISBLANK(Current_DTE!N21),INDEX(Minutes_by_use_case!$B$2:$B$9,MATCH($B21,Minutes_by_use_case!$A$2:$A$9,0)),Current_DTE!N21),"-")</f>
        <v>721.11352444444435</v>
      </c>
      <c r="O21" s="108">
        <f>IFERROR(IF(ISBLANK(Current_DTE!O21),INDEX(Minutes_by_use_case!$B$2:$B$9,MATCH($B21,Minutes_by_use_case!$A$2:$A$9,0)),Current_DTE!O21),"-")</f>
        <v>721.11352444444435</v>
      </c>
      <c r="P21" s="108">
        <f>IFERROR(IF(ISBLANK(Current_DTE!P21),INDEX(Minutes_by_use_case!$B$2:$B$9,MATCH($B21,Minutes_by_use_case!$A$2:$A$9,0)),Current_DTE!P21),"-")</f>
        <v>721.11352444444435</v>
      </c>
      <c r="Q21" s="108">
        <f>IFERROR(IF(ISBLANK(Current_DTE!Q21),INDEX(Minutes_by_use_case!$B$2:$B$9,MATCH($B21,Minutes_by_use_case!$A$2:$A$9,0)),Current_DTE!Q21),"-")</f>
        <v>721.11352444444435</v>
      </c>
      <c r="R21" s="108">
        <f>IFERROR(IF(ISBLANK(Current_DTE!R21),INDEX(Minutes_by_use_case!$B$2:$B$9,MATCH($B21,Minutes_by_use_case!$A$2:$A$9,0)),Current_DTE!R21),"-")</f>
        <v>721.11352444444435</v>
      </c>
      <c r="S21" s="108">
        <f>IFERROR(IF(ISBLANK(Current_DTE!S21),INDEX(Minutes_by_use_case!$B$2:$B$9,MATCH($B21,Minutes_by_use_case!$A$2:$A$9,0)),Current_DTE!S21),"-")</f>
        <v>721.11352444444435</v>
      </c>
      <c r="T21" s="108">
        <f>IFERROR(IF(ISBLANK(Current_DTE!T21),INDEX(Minutes_by_use_case!$B$2:$B$9,MATCH($B21,Minutes_by_use_case!$A$2:$A$9,0)),Current_DTE!T21),"-")</f>
        <v>721.11352444444435</v>
      </c>
      <c r="U21" s="108">
        <f>IFERROR(IF(ISBLANK(Current_DTE!U21),INDEX(Minutes_by_use_case!$B$2:$B$9,MATCH($B21,Minutes_by_use_case!$A$2:$A$9,0)),Current_DTE!U21),"-")</f>
        <v>721.11352444444435</v>
      </c>
      <c r="V21" s="108">
        <f>IFERROR(IF(ISBLANK(Current_DTE!V21),INDEX(Minutes_by_use_case!$B$2:$B$9,MATCH($B21,Minutes_by_use_case!$A$2:$A$9,0)),Current_DTE!V21),"-")</f>
        <v>721.11352444444435</v>
      </c>
    </row>
    <row r="22" spans="1:22" x14ac:dyDescent="0.3">
      <c r="A22" s="32" t="s">
        <v>57</v>
      </c>
      <c r="B22" s="33" t="s">
        <v>41</v>
      </c>
      <c r="C22" s="108">
        <f>IFERROR(IF(ISBLANK(Current_DTE!C22),INDEX(Minutes_by_use_case!$B$2:$B$9,MATCH($B22,Minutes_by_use_case!$A$2:$A$9,0)),Current_DTE!C22),"-")</f>
        <v>133409.35004928565</v>
      </c>
      <c r="D22" s="108">
        <f>IFERROR(IF(ISBLANK(Current_DTE!D22),INDEX(Minutes_by_use_case!$B$2:$B$9,MATCH($B22,Minutes_by_use_case!$A$2:$A$9,0)),Current_DTE!D22),"-")</f>
        <v>133409.35004928565</v>
      </c>
      <c r="E22" s="108">
        <f>IFERROR(IF(ISBLANK(Current_DTE!E22),INDEX(Minutes_by_use_case!$B$2:$B$9,MATCH($B22,Minutes_by_use_case!$A$2:$A$9,0)),Current_DTE!E22),"-")</f>
        <v>133409.35004928565</v>
      </c>
      <c r="F22" s="108">
        <f>IFERROR(IF(ISBLANK(Current_DTE!F22),INDEX(Minutes_by_use_case!$B$2:$B$9,MATCH($B22,Minutes_by_use_case!$A$2:$A$9,0)),Current_DTE!F22),"-")</f>
        <v>133409.35004928565</v>
      </c>
      <c r="G22" s="108">
        <f>IFERROR(IF(ISBLANK(Current_DTE!G22),INDEX(Minutes_by_use_case!$B$2:$B$9,MATCH($B22,Minutes_by_use_case!$A$2:$A$9,0)),Current_DTE!G22),"-")</f>
        <v>133409.35004928565</v>
      </c>
      <c r="H22" s="108">
        <f>IFERROR(IF(ISBLANK(Current_DTE!H22),INDEX(Minutes_by_use_case!$B$2:$B$9,MATCH($B22,Minutes_by_use_case!$A$2:$A$9,0)),Current_DTE!H22),"-")</f>
        <v>133409.35004928565</v>
      </c>
      <c r="I22" s="108">
        <f>IFERROR(IF(ISBLANK(Current_DTE!I22),INDEX(Minutes_by_use_case!$B$2:$B$9,MATCH($B22,Minutes_by_use_case!$A$2:$A$9,0)),Current_DTE!I22),"-")</f>
        <v>133409.35004928565</v>
      </c>
      <c r="J22" s="108">
        <f>IFERROR(IF(ISBLANK(Current_DTE!J22),INDEX(Minutes_by_use_case!$B$2:$B$9,MATCH($B22,Minutes_by_use_case!$A$2:$A$9,0)),Current_DTE!J22),"-")</f>
        <v>133409.35004928565</v>
      </c>
      <c r="K22" s="108">
        <f>IFERROR(IF(ISBLANK(Current_DTE!K22),INDEX(Minutes_by_use_case!$B$2:$B$9,MATCH($B22,Minutes_by_use_case!$A$2:$A$9,0)),Current_DTE!K22),"-")</f>
        <v>133409.35004928565</v>
      </c>
      <c r="L22" s="108">
        <f>IFERROR(IF(ISBLANK(Current_DTE!L22),INDEX(Minutes_by_use_case!$B$2:$B$9,MATCH($B22,Minutes_by_use_case!$A$2:$A$9,0)),Current_DTE!L22),"-")</f>
        <v>133409.35004928565</v>
      </c>
      <c r="M22" s="108">
        <f>IFERROR(IF(ISBLANK(Current_DTE!M22),INDEX(Minutes_by_use_case!$B$2:$B$9,MATCH($B22,Minutes_by_use_case!$A$2:$A$9,0)),Current_DTE!M22),"-")</f>
        <v>133409.35004928565</v>
      </c>
      <c r="N22" s="108">
        <f>IFERROR(IF(ISBLANK(Current_DTE!N22),INDEX(Minutes_by_use_case!$B$2:$B$9,MATCH($B22,Minutes_by_use_case!$A$2:$A$9,0)),Current_DTE!N22),"-")</f>
        <v>133409.35004928565</v>
      </c>
      <c r="O22" s="108">
        <f>IFERROR(IF(ISBLANK(Current_DTE!O22),INDEX(Minutes_by_use_case!$B$2:$B$9,MATCH($B22,Minutes_by_use_case!$A$2:$A$9,0)),Current_DTE!O22),"-")</f>
        <v>133409.35004928565</v>
      </c>
      <c r="P22" s="108">
        <f>IFERROR(IF(ISBLANK(Current_DTE!P22),INDEX(Minutes_by_use_case!$B$2:$B$9,MATCH($B22,Minutes_by_use_case!$A$2:$A$9,0)),Current_DTE!P22),"-")</f>
        <v>133409.35004928565</v>
      </c>
      <c r="Q22" s="108">
        <f>IFERROR(IF(ISBLANK(Current_DTE!Q22),INDEX(Minutes_by_use_case!$B$2:$B$9,MATCH($B22,Minutes_by_use_case!$A$2:$A$9,0)),Current_DTE!Q22),"-")</f>
        <v>133409.35004928565</v>
      </c>
      <c r="R22" s="108">
        <f>IFERROR(IF(ISBLANK(Current_DTE!R22),INDEX(Minutes_by_use_case!$B$2:$B$9,MATCH($B22,Minutes_by_use_case!$A$2:$A$9,0)),Current_DTE!R22),"-")</f>
        <v>133409.35004928565</v>
      </c>
      <c r="S22" s="108">
        <f>IFERROR(IF(ISBLANK(Current_DTE!S22),INDEX(Minutes_by_use_case!$B$2:$B$9,MATCH($B22,Minutes_by_use_case!$A$2:$A$9,0)),Current_DTE!S22),"-")</f>
        <v>133409.35004928565</v>
      </c>
      <c r="T22" s="108">
        <f>IFERROR(IF(ISBLANK(Current_DTE!T22),INDEX(Minutes_by_use_case!$B$2:$B$9,MATCH($B22,Minutes_by_use_case!$A$2:$A$9,0)),Current_DTE!T22),"-")</f>
        <v>133409.35004928565</v>
      </c>
      <c r="U22" s="108">
        <f>IFERROR(IF(ISBLANK(Current_DTE!U22),INDEX(Minutes_by_use_case!$B$2:$B$9,MATCH($B22,Minutes_by_use_case!$A$2:$A$9,0)),Current_DTE!U22),"-")</f>
        <v>133409.35004928565</v>
      </c>
      <c r="V22" s="108">
        <f>IFERROR(IF(ISBLANK(Current_DTE!V22),INDEX(Minutes_by_use_case!$B$2:$B$9,MATCH($B22,Minutes_by_use_case!$A$2:$A$9,0)),Current_DTE!V22),"-")</f>
        <v>133409.35004928565</v>
      </c>
    </row>
    <row r="23" spans="1:22" x14ac:dyDescent="0.3">
      <c r="A23" s="32" t="s">
        <v>22</v>
      </c>
      <c r="B23" s="33" t="s">
        <v>41</v>
      </c>
      <c r="C23" s="108">
        <f>IFERROR(IF(ISBLANK(Current_DTE!C23),INDEX(Minutes_by_use_case!$B$2:$B$9,MATCH($B23,Minutes_by_use_case!$A$2:$A$9,0)),Current_DTE!C23),"-")</f>
        <v>21.986611111111113</v>
      </c>
      <c r="D23" s="108">
        <f>IFERROR(IF(ISBLANK(Current_DTE!D23),INDEX(Minutes_by_use_case!$B$2:$B$9,MATCH($B23,Minutes_by_use_case!$A$2:$A$9,0)),Current_DTE!D23),"-")</f>
        <v>1.1333333333333333</v>
      </c>
      <c r="E23" s="108">
        <f>IFERROR(IF(ISBLANK(Current_DTE!E23),INDEX(Minutes_by_use_case!$B$2:$B$9,MATCH($B23,Minutes_by_use_case!$A$2:$A$9,0)),Current_DTE!E23),"-")</f>
        <v>3.7333333333333334</v>
      </c>
      <c r="F23" s="108">
        <f>IFERROR(IF(ISBLANK(Current_DTE!F23),INDEX(Minutes_by_use_case!$B$2:$B$9,MATCH($B23,Minutes_by_use_case!$A$2:$A$9,0)),Current_DTE!F23),"-")</f>
        <v>23.303841111111115</v>
      </c>
      <c r="G23" s="108">
        <f>IFERROR(IF(ISBLANK(Current_DTE!G23),INDEX(Minutes_by_use_case!$B$2:$B$9,MATCH($B23,Minutes_by_use_case!$A$2:$A$9,0)),Current_DTE!G23),"-")</f>
        <v>23.303841111111115</v>
      </c>
      <c r="H23" s="108">
        <f>IFERROR(IF(ISBLANK(Current_DTE!H23),INDEX(Minutes_by_use_case!$B$2:$B$9,MATCH($B23,Minutes_by_use_case!$A$2:$A$9,0)),Current_DTE!H23),"-")</f>
        <v>23.303841111111115</v>
      </c>
      <c r="I23" s="108">
        <f>IFERROR(IF(ISBLANK(Current_DTE!I23),INDEX(Minutes_by_use_case!$B$2:$B$9,MATCH($B23,Minutes_by_use_case!$A$2:$A$9,0)),Current_DTE!I23),"-")</f>
        <v>23.303841111111115</v>
      </c>
      <c r="J23" s="108">
        <f>IFERROR(IF(ISBLANK(Current_DTE!J23),INDEX(Minutes_by_use_case!$B$2:$B$9,MATCH($B23,Minutes_by_use_case!$A$2:$A$9,0)),Current_DTE!J23),"-")</f>
        <v>23.303841111111115</v>
      </c>
      <c r="K23" s="108">
        <f>IFERROR(IF(ISBLANK(Current_DTE!K23),INDEX(Minutes_by_use_case!$B$2:$B$9,MATCH($B23,Minutes_by_use_case!$A$2:$A$9,0)),Current_DTE!K23),"-")</f>
        <v>23.303841111111115</v>
      </c>
      <c r="L23" s="108">
        <f>IFERROR(IF(ISBLANK(Current_DTE!L23),INDEX(Minutes_by_use_case!$B$2:$B$9,MATCH($B23,Minutes_by_use_case!$A$2:$A$9,0)),Current_DTE!L23),"-")</f>
        <v>23.303841111111115</v>
      </c>
      <c r="M23" s="108">
        <f>IFERROR(IF(ISBLANK(Current_DTE!M23),INDEX(Minutes_by_use_case!$B$2:$B$9,MATCH($B23,Minutes_by_use_case!$A$2:$A$9,0)),Current_DTE!M23),"-")</f>
        <v>23.303841111111115</v>
      </c>
      <c r="N23" s="108">
        <f>IFERROR(IF(ISBLANK(Current_DTE!N23),INDEX(Minutes_by_use_case!$B$2:$B$9,MATCH($B23,Minutes_by_use_case!$A$2:$A$9,0)),Current_DTE!N23),"-")</f>
        <v>23.303841111111115</v>
      </c>
      <c r="O23" s="108">
        <f>IFERROR(IF(ISBLANK(Current_DTE!O23),INDEX(Minutes_by_use_case!$B$2:$B$9,MATCH($B23,Minutes_by_use_case!$A$2:$A$9,0)),Current_DTE!O23),"-")</f>
        <v>23.303841111111115</v>
      </c>
      <c r="P23" s="108">
        <f>IFERROR(IF(ISBLANK(Current_DTE!P23),INDEX(Minutes_by_use_case!$B$2:$B$9,MATCH($B23,Minutes_by_use_case!$A$2:$A$9,0)),Current_DTE!P23),"-")</f>
        <v>23.303841111111115</v>
      </c>
      <c r="Q23" s="108">
        <f>IFERROR(IF(ISBLANK(Current_DTE!Q23),INDEX(Minutes_by_use_case!$B$2:$B$9,MATCH($B23,Minutes_by_use_case!$A$2:$A$9,0)),Current_DTE!Q23),"-")</f>
        <v>23.303841111111115</v>
      </c>
      <c r="R23" s="108">
        <f>IFERROR(IF(ISBLANK(Current_DTE!R23),INDEX(Minutes_by_use_case!$B$2:$B$9,MATCH($B23,Minutes_by_use_case!$A$2:$A$9,0)),Current_DTE!R23),"-")</f>
        <v>23.303841111111115</v>
      </c>
      <c r="S23" s="108">
        <f>IFERROR(IF(ISBLANK(Current_DTE!S23),INDEX(Minutes_by_use_case!$B$2:$B$9,MATCH($B23,Minutes_by_use_case!$A$2:$A$9,0)),Current_DTE!S23),"-")</f>
        <v>23.303841111111115</v>
      </c>
      <c r="T23" s="108">
        <f>IFERROR(IF(ISBLANK(Current_DTE!T23),INDEX(Minutes_by_use_case!$B$2:$B$9,MATCH($B23,Minutes_by_use_case!$A$2:$A$9,0)),Current_DTE!T23),"-")</f>
        <v>23.303841111111115</v>
      </c>
      <c r="U23" s="108">
        <f>IFERROR(IF(ISBLANK(Current_DTE!U23),INDEX(Minutes_by_use_case!$B$2:$B$9,MATCH($B23,Minutes_by_use_case!$A$2:$A$9,0)),Current_DTE!U23),"-")</f>
        <v>23.303841111111115</v>
      </c>
      <c r="V23" s="108">
        <f>IFERROR(IF(ISBLANK(Current_DTE!V23),INDEX(Minutes_by_use_case!$B$2:$B$9,MATCH($B23,Minutes_by_use_case!$A$2:$A$9,0)),Current_DTE!V23),"-")</f>
        <v>23.303841111111115</v>
      </c>
    </row>
    <row r="24" spans="1:22" s="89" customFormat="1" x14ac:dyDescent="0.3">
      <c r="A24" s="103" t="s">
        <v>23</v>
      </c>
      <c r="B24" s="104" t="s">
        <v>43</v>
      </c>
      <c r="C24" s="108">
        <f>IFERROR(IF(ISBLANK(Current_DTE!C24),INDEX(Minutes_by_use_case!$B$2:$B$9,MATCH($B24,Minutes_by_use_case!$A$2:$A$9,0)),Current_DTE!C24),"-")</f>
        <v>7757.52</v>
      </c>
      <c r="D24" s="108">
        <f>IFERROR(IF(ISBLANK(Current_DTE!D24),INDEX(Minutes_by_use_case!$B$2:$B$9,MATCH($B24,Minutes_by_use_case!$A$2:$A$9,0)),Current_DTE!D24),"-")</f>
        <v>7884.0724999999993</v>
      </c>
      <c r="E24" s="108">
        <f>IFERROR(IF(ISBLANK(Current_DTE!E24),INDEX(Minutes_by_use_case!$B$2:$B$9,MATCH($B24,Minutes_by_use_case!$A$2:$A$9,0)),Current_DTE!E24),"-")</f>
        <v>7411.0455555555554</v>
      </c>
      <c r="F24" s="108">
        <f>IFERROR(IF(ISBLANK(Current_DTE!F24),INDEX(Minutes_by_use_case!$B$2:$B$9,MATCH($B24,Minutes_by_use_case!$A$2:$A$9,0)),Current_DTE!F24),"-")</f>
        <v>7749.4853583333334</v>
      </c>
      <c r="G24" s="108">
        <f>IFERROR(IF(ISBLANK(Current_DTE!G24),INDEX(Minutes_by_use_case!$B$2:$B$9,MATCH($B24,Minutes_by_use_case!$A$2:$A$9,0)),Current_DTE!G24),"-")</f>
        <v>7749.4853583333334</v>
      </c>
      <c r="H24" s="108">
        <f>IFERROR(IF(ISBLANK(Current_DTE!H24),INDEX(Minutes_by_use_case!$B$2:$B$9,MATCH($B24,Minutes_by_use_case!$A$2:$A$9,0)),Current_DTE!H24),"-")</f>
        <v>7749.4853583333334</v>
      </c>
      <c r="I24" s="108">
        <f>IFERROR(IF(ISBLANK(Current_DTE!I24),INDEX(Minutes_by_use_case!$B$2:$B$9,MATCH($B24,Minutes_by_use_case!$A$2:$A$9,0)),Current_DTE!I24),"-")</f>
        <v>7749.4853583333334</v>
      </c>
      <c r="J24" s="108">
        <f>IFERROR(IF(ISBLANK(Current_DTE!J24),INDEX(Minutes_by_use_case!$B$2:$B$9,MATCH($B24,Minutes_by_use_case!$A$2:$A$9,0)),Current_DTE!J24),"-")</f>
        <v>7749.4853583333334</v>
      </c>
      <c r="K24" s="108">
        <f>IFERROR(IF(ISBLANK(Current_DTE!K24),INDEX(Minutes_by_use_case!$B$2:$B$9,MATCH($B24,Minutes_by_use_case!$A$2:$A$9,0)),Current_DTE!K24),"-")</f>
        <v>7749.4853583333334</v>
      </c>
      <c r="L24" s="108">
        <f>IFERROR(IF(ISBLANK(Current_DTE!L24),INDEX(Minutes_by_use_case!$B$2:$B$9,MATCH($B24,Minutes_by_use_case!$A$2:$A$9,0)),Current_DTE!L24),"-")</f>
        <v>7749.4853583333334</v>
      </c>
      <c r="M24" s="108">
        <f>IFERROR(IF(ISBLANK(Current_DTE!M24),INDEX(Minutes_by_use_case!$B$2:$B$9,MATCH($B24,Minutes_by_use_case!$A$2:$A$9,0)),Current_DTE!M24),"-")</f>
        <v>7749.4853583333334</v>
      </c>
      <c r="N24" s="108">
        <f>IFERROR(IF(ISBLANK(Current_DTE!N24),INDEX(Minutes_by_use_case!$B$2:$B$9,MATCH($B24,Minutes_by_use_case!$A$2:$A$9,0)),Current_DTE!N24),"-")</f>
        <v>7749.4853583333334</v>
      </c>
      <c r="O24" s="108">
        <f>IFERROR(IF(ISBLANK(Current_DTE!O24),INDEX(Minutes_by_use_case!$B$2:$B$9,MATCH($B24,Minutes_by_use_case!$A$2:$A$9,0)),Current_DTE!O24),"-")</f>
        <v>7749.4853583333334</v>
      </c>
      <c r="P24" s="108">
        <f>IFERROR(IF(ISBLANK(Current_DTE!P24),INDEX(Minutes_by_use_case!$B$2:$B$9,MATCH($B24,Minutes_by_use_case!$A$2:$A$9,0)),Current_DTE!P24),"-")</f>
        <v>7749.4853583333334</v>
      </c>
      <c r="Q24" s="108">
        <f>IFERROR(IF(ISBLANK(Current_DTE!Q24),INDEX(Minutes_by_use_case!$B$2:$B$9,MATCH($B24,Minutes_by_use_case!$A$2:$A$9,0)),Current_DTE!Q24),"-")</f>
        <v>7749.4853583333334</v>
      </c>
      <c r="R24" s="108">
        <f>IFERROR(IF(ISBLANK(Current_DTE!R24),INDEX(Minutes_by_use_case!$B$2:$B$9,MATCH($B24,Minutes_by_use_case!$A$2:$A$9,0)),Current_DTE!R24),"-")</f>
        <v>7749.4853583333334</v>
      </c>
      <c r="S24" s="108">
        <f>IFERROR(IF(ISBLANK(Current_DTE!S24),INDEX(Minutes_by_use_case!$B$2:$B$9,MATCH($B24,Minutes_by_use_case!$A$2:$A$9,0)),Current_DTE!S24),"-")</f>
        <v>7749.4853583333334</v>
      </c>
      <c r="T24" s="108">
        <f>IFERROR(IF(ISBLANK(Current_DTE!T24),INDEX(Minutes_by_use_case!$B$2:$B$9,MATCH($B24,Minutes_by_use_case!$A$2:$A$9,0)),Current_DTE!T24),"-")</f>
        <v>7749.4853583333334</v>
      </c>
      <c r="U24" s="108">
        <f>IFERROR(IF(ISBLANK(Current_DTE!U24),INDEX(Minutes_by_use_case!$B$2:$B$9,MATCH($B24,Minutes_by_use_case!$A$2:$A$9,0)),Current_DTE!U24),"-")</f>
        <v>7749.4853583333334</v>
      </c>
      <c r="V24" s="108">
        <f>IFERROR(IF(ISBLANK(Current_DTE!V24),INDEX(Minutes_by_use_case!$B$2:$B$9,MATCH($B24,Minutes_by_use_case!$A$2:$A$9,0)),Current_DTE!V24),"-")</f>
        <v>7749.4853583333334</v>
      </c>
    </row>
    <row r="25" spans="1:22" x14ac:dyDescent="0.3">
      <c r="A25" s="32" t="s">
        <v>25</v>
      </c>
      <c r="B25" s="33" t="s">
        <v>44</v>
      </c>
      <c r="C25" s="108">
        <f>IFERROR(IF(ISBLANK(Current_DTE!C25),INDEX(Minutes_by_use_case!$B$2:$B$9,MATCH($B25,Minutes_by_use_case!$A$2:$A$9,0)),Current_DTE!C25),"-")</f>
        <v>0</v>
      </c>
      <c r="D25" s="108">
        <f>IFERROR(IF(ISBLANK(Current_DTE!D25),INDEX(Minutes_by_use_case!$B$2:$B$9,MATCH($B25,Minutes_by_use_case!$A$2:$A$9,0)),Current_DTE!D25),"-")</f>
        <v>0</v>
      </c>
      <c r="E25" s="108">
        <f>IFERROR(IF(ISBLANK(Current_DTE!E25),INDEX(Minutes_by_use_case!$B$2:$B$9,MATCH($B25,Minutes_by_use_case!$A$2:$A$9,0)),Current_DTE!E25),"-")</f>
        <v>0</v>
      </c>
      <c r="F25" s="108">
        <f>IFERROR(IF(ISBLANK(Current_DTE!F25),INDEX(Minutes_by_use_case!$B$2:$B$9,MATCH($B25,Minutes_by_use_case!$A$2:$A$9,0)),Current_DTE!F25),"-")</f>
        <v>0</v>
      </c>
      <c r="G25" s="108">
        <f>IFERROR(IF(ISBLANK(Current_DTE!G25),INDEX(Minutes_by_use_case!$B$2:$B$9,MATCH($B25,Minutes_by_use_case!$A$2:$A$9,0)),Current_DTE!G25),"-")</f>
        <v>0</v>
      </c>
      <c r="H25" s="108">
        <f>IFERROR(IF(ISBLANK(Current_DTE!H25),INDEX(Minutes_by_use_case!$B$2:$B$9,MATCH($B25,Minutes_by_use_case!$A$2:$A$9,0)),Current_DTE!H25),"-")</f>
        <v>0</v>
      </c>
      <c r="I25" s="108">
        <f>IFERROR(IF(ISBLANK(Current_DTE!I25),INDEX(Minutes_by_use_case!$B$2:$B$9,MATCH($B25,Minutes_by_use_case!$A$2:$A$9,0)),Current_DTE!I25),"-")</f>
        <v>0</v>
      </c>
      <c r="J25" s="108">
        <f>IFERROR(IF(ISBLANK(Current_DTE!J25),INDEX(Minutes_by_use_case!$B$2:$B$9,MATCH($B25,Minutes_by_use_case!$A$2:$A$9,0)),Current_DTE!J25),"-")</f>
        <v>0</v>
      </c>
      <c r="K25" s="108">
        <f>IFERROR(IF(ISBLANK(Current_DTE!K25),INDEX(Minutes_by_use_case!$B$2:$B$9,MATCH($B25,Minutes_by_use_case!$A$2:$A$9,0)),Current_DTE!K25),"-")</f>
        <v>0</v>
      </c>
      <c r="L25" s="108">
        <f>IFERROR(IF(ISBLANK(Current_DTE!L25),INDEX(Minutes_by_use_case!$B$2:$B$9,MATCH($B25,Minutes_by_use_case!$A$2:$A$9,0)),Current_DTE!L25),"-")</f>
        <v>0</v>
      </c>
      <c r="M25" s="108">
        <f>IFERROR(IF(ISBLANK(Current_DTE!M25),INDEX(Minutes_by_use_case!$B$2:$B$9,MATCH($B25,Minutes_by_use_case!$A$2:$A$9,0)),Current_DTE!M25),"-")</f>
        <v>0</v>
      </c>
      <c r="N25" s="108">
        <f>IFERROR(IF(ISBLANK(Current_DTE!N25),INDEX(Minutes_by_use_case!$B$2:$B$9,MATCH($B25,Minutes_by_use_case!$A$2:$A$9,0)),Current_DTE!N25),"-")</f>
        <v>0</v>
      </c>
      <c r="O25" s="108">
        <f>IFERROR(IF(ISBLANK(Current_DTE!O25),INDEX(Minutes_by_use_case!$B$2:$B$9,MATCH($B25,Minutes_by_use_case!$A$2:$A$9,0)),Current_DTE!O25),"-")</f>
        <v>0</v>
      </c>
      <c r="P25" s="108">
        <f>IFERROR(IF(ISBLANK(Current_DTE!P25),INDEX(Minutes_by_use_case!$B$2:$B$9,MATCH($B25,Minutes_by_use_case!$A$2:$A$9,0)),Current_DTE!P25),"-")</f>
        <v>0</v>
      </c>
      <c r="Q25" s="108">
        <f>IFERROR(IF(ISBLANK(Current_DTE!Q25),INDEX(Minutes_by_use_case!$B$2:$B$9,MATCH($B25,Minutes_by_use_case!$A$2:$A$9,0)),Current_DTE!Q25),"-")</f>
        <v>0</v>
      </c>
      <c r="R25" s="108">
        <f>IFERROR(IF(ISBLANK(Current_DTE!R25),INDEX(Minutes_by_use_case!$B$2:$B$9,MATCH($B25,Minutes_by_use_case!$A$2:$A$9,0)),Current_DTE!R25),"-")</f>
        <v>0</v>
      </c>
      <c r="S25" s="108">
        <f>IFERROR(IF(ISBLANK(Current_DTE!S25),INDEX(Minutes_by_use_case!$B$2:$B$9,MATCH($B25,Minutes_by_use_case!$A$2:$A$9,0)),Current_DTE!S25),"-")</f>
        <v>0</v>
      </c>
      <c r="T25" s="108">
        <f>IFERROR(IF(ISBLANK(Current_DTE!T25),INDEX(Minutes_by_use_case!$B$2:$B$9,MATCH($B25,Minutes_by_use_case!$A$2:$A$9,0)),Current_DTE!T25),"-")</f>
        <v>0</v>
      </c>
      <c r="U25" s="108">
        <f>IFERROR(IF(ISBLANK(Current_DTE!U25),INDEX(Minutes_by_use_case!$B$2:$B$9,MATCH($B25,Minutes_by_use_case!$A$2:$A$9,0)),Current_DTE!U25),"-")</f>
        <v>0</v>
      </c>
      <c r="V25" s="108">
        <f>IFERROR(IF(ISBLANK(Current_DTE!V25),INDEX(Minutes_by_use_case!$B$2:$B$9,MATCH($B25,Minutes_by_use_case!$A$2:$A$9,0)),Current_DTE!V25),"-")</f>
        <v>0</v>
      </c>
    </row>
    <row r="26" spans="1:22" x14ac:dyDescent="0.3">
      <c r="A26" s="32" t="s">
        <v>58</v>
      </c>
      <c r="B26" s="33" t="s">
        <v>41</v>
      </c>
      <c r="C26" s="108">
        <f>IFERROR(IF(ISBLANK(Current_DTE!C26),INDEX(Minutes_by_use_case!$B$2:$B$9,MATCH($B26,Minutes_by_use_case!$A$2:$A$9,0)),Current_DTE!C26),"-")</f>
        <v>133409.35004928565</v>
      </c>
      <c r="D26" s="108">
        <f>IFERROR(IF(ISBLANK(Current_DTE!D26),INDEX(Minutes_by_use_case!$B$2:$B$9,MATCH($B26,Minutes_by_use_case!$A$2:$A$9,0)),Current_DTE!D26),"-")</f>
        <v>133409.35004928565</v>
      </c>
      <c r="E26" s="108">
        <f>IFERROR(IF(ISBLANK(Current_DTE!E26),INDEX(Minutes_by_use_case!$B$2:$B$9,MATCH($B26,Minutes_by_use_case!$A$2:$A$9,0)),Current_DTE!E26),"-")</f>
        <v>133409.35004928565</v>
      </c>
      <c r="F26" s="108">
        <f>IFERROR(IF(ISBLANK(Current_DTE!F26),INDEX(Minutes_by_use_case!$B$2:$B$9,MATCH($B26,Minutes_by_use_case!$A$2:$A$9,0)),Current_DTE!F26),"-")</f>
        <v>133409.35004928565</v>
      </c>
      <c r="G26" s="108">
        <f>IFERROR(IF(ISBLANK(Current_DTE!G26),INDEX(Minutes_by_use_case!$B$2:$B$9,MATCH($B26,Minutes_by_use_case!$A$2:$A$9,0)),Current_DTE!G26),"-")</f>
        <v>133409.35004928565</v>
      </c>
      <c r="H26" s="108">
        <f>IFERROR(IF(ISBLANK(Current_DTE!H26),INDEX(Minutes_by_use_case!$B$2:$B$9,MATCH($B26,Minutes_by_use_case!$A$2:$A$9,0)),Current_DTE!H26),"-")</f>
        <v>133409.35004928565</v>
      </c>
      <c r="I26" s="108">
        <f>IFERROR(IF(ISBLANK(Current_DTE!I26),INDEX(Minutes_by_use_case!$B$2:$B$9,MATCH($B26,Minutes_by_use_case!$A$2:$A$9,0)),Current_DTE!I26),"-")</f>
        <v>133409.35004928565</v>
      </c>
      <c r="J26" s="108">
        <f>IFERROR(IF(ISBLANK(Current_DTE!J26),INDEX(Minutes_by_use_case!$B$2:$B$9,MATCH($B26,Minutes_by_use_case!$A$2:$A$9,0)),Current_DTE!J26),"-")</f>
        <v>133409.35004928565</v>
      </c>
      <c r="K26" s="108">
        <f>IFERROR(IF(ISBLANK(Current_DTE!K26),INDEX(Minutes_by_use_case!$B$2:$B$9,MATCH($B26,Minutes_by_use_case!$A$2:$A$9,0)),Current_DTE!K26),"-")</f>
        <v>133409.35004928565</v>
      </c>
      <c r="L26" s="108">
        <f>IFERROR(IF(ISBLANK(Current_DTE!L26),INDEX(Minutes_by_use_case!$B$2:$B$9,MATCH($B26,Minutes_by_use_case!$A$2:$A$9,0)),Current_DTE!L26),"-")</f>
        <v>133409.35004928565</v>
      </c>
      <c r="M26" s="108">
        <f>IFERROR(IF(ISBLANK(Current_DTE!M26),INDEX(Minutes_by_use_case!$B$2:$B$9,MATCH($B26,Minutes_by_use_case!$A$2:$A$9,0)),Current_DTE!M26),"-")</f>
        <v>133409.35004928565</v>
      </c>
      <c r="N26" s="108">
        <f>IFERROR(IF(ISBLANK(Current_DTE!N26),INDEX(Minutes_by_use_case!$B$2:$B$9,MATCH($B26,Minutes_by_use_case!$A$2:$A$9,0)),Current_DTE!N26),"-")</f>
        <v>133409.35004928565</v>
      </c>
      <c r="O26" s="108">
        <f>IFERROR(IF(ISBLANK(Current_DTE!O26),INDEX(Minutes_by_use_case!$B$2:$B$9,MATCH($B26,Minutes_by_use_case!$A$2:$A$9,0)),Current_DTE!O26),"-")</f>
        <v>133409.35004928565</v>
      </c>
      <c r="P26" s="108">
        <f>IFERROR(IF(ISBLANK(Current_DTE!P26),INDEX(Minutes_by_use_case!$B$2:$B$9,MATCH($B26,Minutes_by_use_case!$A$2:$A$9,0)),Current_DTE!P26),"-")</f>
        <v>133409.35004928565</v>
      </c>
      <c r="Q26" s="108">
        <f>IFERROR(IF(ISBLANK(Current_DTE!Q26),INDEX(Minutes_by_use_case!$B$2:$B$9,MATCH($B26,Minutes_by_use_case!$A$2:$A$9,0)),Current_DTE!Q26),"-")</f>
        <v>133409.35004928565</v>
      </c>
      <c r="R26" s="108">
        <f>IFERROR(IF(ISBLANK(Current_DTE!R26),INDEX(Minutes_by_use_case!$B$2:$B$9,MATCH($B26,Minutes_by_use_case!$A$2:$A$9,0)),Current_DTE!R26),"-")</f>
        <v>133409.35004928565</v>
      </c>
      <c r="S26" s="108">
        <f>IFERROR(IF(ISBLANK(Current_DTE!S26),INDEX(Minutes_by_use_case!$B$2:$B$9,MATCH($B26,Minutes_by_use_case!$A$2:$A$9,0)),Current_DTE!S26),"-")</f>
        <v>133409.35004928565</v>
      </c>
      <c r="T26" s="108">
        <f>IFERROR(IF(ISBLANK(Current_DTE!T26),INDEX(Minutes_by_use_case!$B$2:$B$9,MATCH($B26,Minutes_by_use_case!$A$2:$A$9,0)),Current_DTE!T26),"-")</f>
        <v>133409.35004928565</v>
      </c>
      <c r="U26" s="108">
        <f>IFERROR(IF(ISBLANK(Current_DTE!U26),INDEX(Minutes_by_use_case!$B$2:$B$9,MATCH($B26,Minutes_by_use_case!$A$2:$A$9,0)),Current_DTE!U26),"-")</f>
        <v>133409.35004928565</v>
      </c>
      <c r="V26" s="108">
        <f>IFERROR(IF(ISBLANK(Current_DTE!V26),INDEX(Minutes_by_use_case!$B$2:$B$9,MATCH($B26,Minutes_by_use_case!$A$2:$A$9,0)),Current_DTE!V26),"-")</f>
        <v>133409.35004928565</v>
      </c>
    </row>
    <row r="27" spans="1:22" x14ac:dyDescent="0.3">
      <c r="A27" s="32" t="s">
        <v>59</v>
      </c>
      <c r="B27" s="33" t="s">
        <v>41</v>
      </c>
      <c r="C27" s="108">
        <f>IFERROR(IF(ISBLANK(Current_DTE!C27),INDEX(Minutes_by_use_case!$B$2:$B$9,MATCH($B27,Minutes_by_use_case!$A$2:$A$9,0)),Current_DTE!C27),"-")</f>
        <v>133409.35004928565</v>
      </c>
      <c r="D27" s="108">
        <f>IFERROR(IF(ISBLANK(Current_DTE!D27),INDEX(Minutes_by_use_case!$B$2:$B$9,MATCH($B27,Minutes_by_use_case!$A$2:$A$9,0)),Current_DTE!D27),"-")</f>
        <v>133409.35004928565</v>
      </c>
      <c r="E27" s="108">
        <f>IFERROR(IF(ISBLANK(Current_DTE!E27),INDEX(Minutes_by_use_case!$B$2:$B$9,MATCH($B27,Minutes_by_use_case!$A$2:$A$9,0)),Current_DTE!E27),"-")</f>
        <v>133409.35004928565</v>
      </c>
      <c r="F27" s="108">
        <f>IFERROR(IF(ISBLANK(Current_DTE!F27),INDEX(Minutes_by_use_case!$B$2:$B$9,MATCH($B27,Minutes_by_use_case!$A$2:$A$9,0)),Current_DTE!F27),"-")</f>
        <v>133409.35004928565</v>
      </c>
      <c r="G27" s="108">
        <f>IFERROR(IF(ISBLANK(Current_DTE!G27),INDEX(Minutes_by_use_case!$B$2:$B$9,MATCH($B27,Minutes_by_use_case!$A$2:$A$9,0)),Current_DTE!G27),"-")</f>
        <v>133409.35004928565</v>
      </c>
      <c r="H27" s="108">
        <f>IFERROR(IF(ISBLANK(Current_DTE!H27),INDEX(Minutes_by_use_case!$B$2:$B$9,MATCH($B27,Minutes_by_use_case!$A$2:$A$9,0)),Current_DTE!H27),"-")</f>
        <v>133409.35004928565</v>
      </c>
      <c r="I27" s="108">
        <f>IFERROR(IF(ISBLANK(Current_DTE!I27),INDEX(Minutes_by_use_case!$B$2:$B$9,MATCH($B27,Minutes_by_use_case!$A$2:$A$9,0)),Current_DTE!I27),"-")</f>
        <v>133409.35004928565</v>
      </c>
      <c r="J27" s="108">
        <f>IFERROR(IF(ISBLANK(Current_DTE!J27),INDEX(Minutes_by_use_case!$B$2:$B$9,MATCH($B27,Minutes_by_use_case!$A$2:$A$9,0)),Current_DTE!J27),"-")</f>
        <v>133409.35004928565</v>
      </c>
      <c r="K27" s="108">
        <f>IFERROR(IF(ISBLANK(Current_DTE!K27),INDEX(Minutes_by_use_case!$B$2:$B$9,MATCH($B27,Minutes_by_use_case!$A$2:$A$9,0)),Current_DTE!K27),"-")</f>
        <v>133409.35004928565</v>
      </c>
      <c r="L27" s="108">
        <f>IFERROR(IF(ISBLANK(Current_DTE!L27),INDEX(Minutes_by_use_case!$B$2:$B$9,MATCH($B27,Minutes_by_use_case!$A$2:$A$9,0)),Current_DTE!L27),"-")</f>
        <v>133409.35004928565</v>
      </c>
      <c r="M27" s="108">
        <f>IFERROR(IF(ISBLANK(Current_DTE!M27),INDEX(Minutes_by_use_case!$B$2:$B$9,MATCH($B27,Minutes_by_use_case!$A$2:$A$9,0)),Current_DTE!M27),"-")</f>
        <v>133409.35004928565</v>
      </c>
      <c r="N27" s="108">
        <f>IFERROR(IF(ISBLANK(Current_DTE!N27),INDEX(Minutes_by_use_case!$B$2:$B$9,MATCH($B27,Minutes_by_use_case!$A$2:$A$9,0)),Current_DTE!N27),"-")</f>
        <v>133409.35004928565</v>
      </c>
      <c r="O27" s="108">
        <f>IFERROR(IF(ISBLANK(Current_DTE!O27),INDEX(Minutes_by_use_case!$B$2:$B$9,MATCH($B27,Minutes_by_use_case!$A$2:$A$9,0)),Current_DTE!O27),"-")</f>
        <v>133409.35004928565</v>
      </c>
      <c r="P27" s="108">
        <f>IFERROR(IF(ISBLANK(Current_DTE!P27),INDEX(Minutes_by_use_case!$B$2:$B$9,MATCH($B27,Minutes_by_use_case!$A$2:$A$9,0)),Current_DTE!P27),"-")</f>
        <v>133409.35004928565</v>
      </c>
      <c r="Q27" s="108">
        <f>IFERROR(IF(ISBLANK(Current_DTE!Q27),INDEX(Minutes_by_use_case!$B$2:$B$9,MATCH($B27,Minutes_by_use_case!$A$2:$A$9,0)),Current_DTE!Q27),"-")</f>
        <v>133409.35004928565</v>
      </c>
      <c r="R27" s="108">
        <f>IFERROR(IF(ISBLANK(Current_DTE!R27),INDEX(Minutes_by_use_case!$B$2:$B$9,MATCH($B27,Minutes_by_use_case!$A$2:$A$9,0)),Current_DTE!R27),"-")</f>
        <v>133409.35004928565</v>
      </c>
      <c r="S27" s="108">
        <f>IFERROR(IF(ISBLANK(Current_DTE!S27),INDEX(Minutes_by_use_case!$B$2:$B$9,MATCH($B27,Minutes_by_use_case!$A$2:$A$9,0)),Current_DTE!S27),"-")</f>
        <v>133409.35004928565</v>
      </c>
      <c r="T27" s="108">
        <f>IFERROR(IF(ISBLANK(Current_DTE!T27),INDEX(Minutes_by_use_case!$B$2:$B$9,MATCH($B27,Minutes_by_use_case!$A$2:$A$9,0)),Current_DTE!T27),"-")</f>
        <v>133409.35004928565</v>
      </c>
      <c r="U27" s="108">
        <f>IFERROR(IF(ISBLANK(Current_DTE!U27),INDEX(Minutes_by_use_case!$B$2:$B$9,MATCH($B27,Minutes_by_use_case!$A$2:$A$9,0)),Current_DTE!U27),"-")</f>
        <v>133409.35004928565</v>
      </c>
      <c r="V27" s="108">
        <f>IFERROR(IF(ISBLANK(Current_DTE!V27),INDEX(Minutes_by_use_case!$B$2:$B$9,MATCH($B27,Minutes_by_use_case!$A$2:$A$9,0)),Current_DTE!V27),"-")</f>
        <v>133409.35004928565</v>
      </c>
    </row>
    <row r="28" spans="1:22" x14ac:dyDescent="0.3">
      <c r="A28" s="32" t="s">
        <v>60</v>
      </c>
      <c r="B28" s="33" t="s">
        <v>41</v>
      </c>
      <c r="C28" s="108">
        <f>IFERROR(IF(ISBLANK(Current_DTE!C28),INDEX(Minutes_by_use_case!$B$2:$B$9,MATCH($B28,Minutes_by_use_case!$A$2:$A$9,0)),Current_DTE!C28),"-")</f>
        <v>133409.35004928565</v>
      </c>
      <c r="D28" s="108">
        <f>IFERROR(IF(ISBLANK(Current_DTE!D28),INDEX(Minutes_by_use_case!$B$2:$B$9,MATCH($B28,Minutes_by_use_case!$A$2:$A$9,0)),Current_DTE!D28),"-")</f>
        <v>133409.35004928565</v>
      </c>
      <c r="E28" s="108">
        <f>IFERROR(IF(ISBLANK(Current_DTE!E28),INDEX(Minutes_by_use_case!$B$2:$B$9,MATCH($B28,Minutes_by_use_case!$A$2:$A$9,0)),Current_DTE!E28),"-")</f>
        <v>133409.35004928565</v>
      </c>
      <c r="F28" s="108">
        <f>IFERROR(IF(ISBLANK(Current_DTE!F28),INDEX(Minutes_by_use_case!$B$2:$B$9,MATCH($B28,Minutes_by_use_case!$A$2:$A$9,0)),Current_DTE!F28),"-")</f>
        <v>133409.35004928565</v>
      </c>
      <c r="G28" s="108">
        <f>IFERROR(IF(ISBLANK(Current_DTE!G28),INDEX(Minutes_by_use_case!$B$2:$B$9,MATCH($B28,Minutes_by_use_case!$A$2:$A$9,0)),Current_DTE!G28),"-")</f>
        <v>133409.35004928565</v>
      </c>
      <c r="H28" s="108">
        <f>IFERROR(IF(ISBLANK(Current_DTE!H28),INDEX(Minutes_by_use_case!$B$2:$B$9,MATCH($B28,Minutes_by_use_case!$A$2:$A$9,0)),Current_DTE!H28),"-")</f>
        <v>133409.35004928565</v>
      </c>
      <c r="I28" s="108">
        <f>IFERROR(IF(ISBLANK(Current_DTE!I28),INDEX(Minutes_by_use_case!$B$2:$B$9,MATCH($B28,Minutes_by_use_case!$A$2:$A$9,0)),Current_DTE!I28),"-")</f>
        <v>133409.35004928565</v>
      </c>
      <c r="J28" s="108">
        <f>IFERROR(IF(ISBLANK(Current_DTE!J28),INDEX(Minutes_by_use_case!$B$2:$B$9,MATCH($B28,Minutes_by_use_case!$A$2:$A$9,0)),Current_DTE!J28),"-")</f>
        <v>133409.35004928565</v>
      </c>
      <c r="K28" s="108">
        <f>IFERROR(IF(ISBLANK(Current_DTE!K28),INDEX(Minutes_by_use_case!$B$2:$B$9,MATCH($B28,Minutes_by_use_case!$A$2:$A$9,0)),Current_DTE!K28),"-")</f>
        <v>133409.35004928565</v>
      </c>
      <c r="L28" s="108">
        <f>IFERROR(IF(ISBLANK(Current_DTE!L28),INDEX(Minutes_by_use_case!$B$2:$B$9,MATCH($B28,Minutes_by_use_case!$A$2:$A$9,0)),Current_DTE!L28),"-")</f>
        <v>133409.35004928565</v>
      </c>
      <c r="M28" s="108">
        <f>IFERROR(IF(ISBLANK(Current_DTE!M28),INDEX(Minutes_by_use_case!$B$2:$B$9,MATCH($B28,Minutes_by_use_case!$A$2:$A$9,0)),Current_DTE!M28),"-")</f>
        <v>133409.35004928565</v>
      </c>
      <c r="N28" s="108">
        <f>IFERROR(IF(ISBLANK(Current_DTE!N28),INDEX(Minutes_by_use_case!$B$2:$B$9,MATCH($B28,Minutes_by_use_case!$A$2:$A$9,0)),Current_DTE!N28),"-")</f>
        <v>133409.35004928565</v>
      </c>
      <c r="O28" s="108">
        <f>IFERROR(IF(ISBLANK(Current_DTE!O28),INDEX(Minutes_by_use_case!$B$2:$B$9,MATCH($B28,Minutes_by_use_case!$A$2:$A$9,0)),Current_DTE!O28),"-")</f>
        <v>133409.35004928565</v>
      </c>
      <c r="P28" s="108">
        <f>IFERROR(IF(ISBLANK(Current_DTE!P28),INDEX(Minutes_by_use_case!$B$2:$B$9,MATCH($B28,Minutes_by_use_case!$A$2:$A$9,0)),Current_DTE!P28),"-")</f>
        <v>133409.35004928565</v>
      </c>
      <c r="Q28" s="108">
        <f>IFERROR(IF(ISBLANK(Current_DTE!Q28),INDEX(Minutes_by_use_case!$B$2:$B$9,MATCH($B28,Minutes_by_use_case!$A$2:$A$9,0)),Current_DTE!Q28),"-")</f>
        <v>133409.35004928565</v>
      </c>
      <c r="R28" s="108">
        <f>IFERROR(IF(ISBLANK(Current_DTE!R28),INDEX(Minutes_by_use_case!$B$2:$B$9,MATCH($B28,Minutes_by_use_case!$A$2:$A$9,0)),Current_DTE!R28),"-")</f>
        <v>133409.35004928565</v>
      </c>
      <c r="S28" s="108">
        <f>IFERROR(IF(ISBLANK(Current_DTE!S28),INDEX(Minutes_by_use_case!$B$2:$B$9,MATCH($B28,Minutes_by_use_case!$A$2:$A$9,0)),Current_DTE!S28),"-")</f>
        <v>133409.35004928565</v>
      </c>
      <c r="T28" s="108">
        <f>IFERROR(IF(ISBLANK(Current_DTE!T28),INDEX(Minutes_by_use_case!$B$2:$B$9,MATCH($B28,Minutes_by_use_case!$A$2:$A$9,0)),Current_DTE!T28),"-")</f>
        <v>133409.35004928565</v>
      </c>
      <c r="U28" s="108">
        <f>IFERROR(IF(ISBLANK(Current_DTE!U28),INDEX(Minutes_by_use_case!$B$2:$B$9,MATCH($B28,Minutes_by_use_case!$A$2:$A$9,0)),Current_DTE!U28),"-")</f>
        <v>133409.35004928565</v>
      </c>
      <c r="V28" s="108">
        <f>IFERROR(IF(ISBLANK(Current_DTE!V28),INDEX(Minutes_by_use_case!$B$2:$B$9,MATCH($B28,Minutes_by_use_case!$A$2:$A$9,0)),Current_DTE!V28),"-")</f>
        <v>133409.35004928565</v>
      </c>
    </row>
    <row r="29" spans="1:22" x14ac:dyDescent="0.3">
      <c r="A29" s="32" t="s">
        <v>26</v>
      </c>
      <c r="B29" s="40" t="s">
        <v>45</v>
      </c>
      <c r="C29" s="108">
        <f>IFERROR(IF(ISBLANK(Current_DTE!C29),INDEX(Minutes_by_use_case!$B$2:$B$9,MATCH($B29,Minutes_by_use_case!$A$2:$A$9,0)),Current_DTE!C29),"-")</f>
        <v>89453.837836666688</v>
      </c>
      <c r="D29" s="108">
        <f>IFERROR(IF(ISBLANK(Current_DTE!D29),INDEX(Minutes_by_use_case!$B$2:$B$9,MATCH($B29,Minutes_by_use_case!$A$2:$A$9,0)),Current_DTE!D29),"-")</f>
        <v>89453.837836666688</v>
      </c>
      <c r="E29" s="108">
        <f>IFERROR(IF(ISBLANK(Current_DTE!E29),INDEX(Minutes_by_use_case!$B$2:$B$9,MATCH($B29,Minutes_by_use_case!$A$2:$A$9,0)),Current_DTE!E29),"-")</f>
        <v>89453.837836666688</v>
      </c>
      <c r="F29" s="108">
        <f>IFERROR(IF(ISBLANK(Current_DTE!F29),INDEX(Minutes_by_use_case!$B$2:$B$9,MATCH($B29,Minutes_by_use_case!$A$2:$A$9,0)),Current_DTE!F29),"-")</f>
        <v>89453.837836666688</v>
      </c>
      <c r="G29" s="108">
        <f>IFERROR(IF(ISBLANK(Current_DTE!G29),INDEX(Minutes_by_use_case!$B$2:$B$9,MATCH($B29,Minutes_by_use_case!$A$2:$A$9,0)),Current_DTE!G29),"-")</f>
        <v>89453.837836666688</v>
      </c>
      <c r="H29" s="108">
        <f>IFERROR(IF(ISBLANK(Current_DTE!H29),INDEX(Minutes_by_use_case!$B$2:$B$9,MATCH($B29,Minutes_by_use_case!$A$2:$A$9,0)),Current_DTE!H29),"-")</f>
        <v>89453.837836666688</v>
      </c>
      <c r="I29" s="108">
        <f>IFERROR(IF(ISBLANK(Current_DTE!I29),INDEX(Minutes_by_use_case!$B$2:$B$9,MATCH($B29,Minutes_by_use_case!$A$2:$A$9,0)),Current_DTE!I29),"-")</f>
        <v>89453.837836666688</v>
      </c>
      <c r="J29" s="108">
        <f>IFERROR(IF(ISBLANK(Current_DTE!J29),INDEX(Minutes_by_use_case!$B$2:$B$9,MATCH($B29,Minutes_by_use_case!$A$2:$A$9,0)),Current_DTE!J29),"-")</f>
        <v>89453.837836666688</v>
      </c>
      <c r="K29" s="108">
        <f>IFERROR(IF(ISBLANK(Current_DTE!K29),INDEX(Minutes_by_use_case!$B$2:$B$9,MATCH($B29,Minutes_by_use_case!$A$2:$A$9,0)),Current_DTE!K29),"-")</f>
        <v>89453.837836666688</v>
      </c>
      <c r="L29" s="108">
        <f>IFERROR(IF(ISBLANK(Current_DTE!L29),INDEX(Minutes_by_use_case!$B$2:$B$9,MATCH($B29,Minutes_by_use_case!$A$2:$A$9,0)),Current_DTE!L29),"-")</f>
        <v>89453.837836666688</v>
      </c>
      <c r="M29" s="108">
        <f>IFERROR(IF(ISBLANK(Current_DTE!M29),INDEX(Minutes_by_use_case!$B$2:$B$9,MATCH($B29,Minutes_by_use_case!$A$2:$A$9,0)),Current_DTE!M29),"-")</f>
        <v>89453.837836666688</v>
      </c>
      <c r="N29" s="108">
        <f>IFERROR(IF(ISBLANK(Current_DTE!N29),INDEX(Minutes_by_use_case!$B$2:$B$9,MATCH($B29,Minutes_by_use_case!$A$2:$A$9,0)),Current_DTE!N29),"-")</f>
        <v>89453.837836666688</v>
      </c>
      <c r="O29" s="108">
        <f>IFERROR(IF(ISBLANK(Current_DTE!O29),INDEX(Minutes_by_use_case!$B$2:$B$9,MATCH($B29,Minutes_by_use_case!$A$2:$A$9,0)),Current_DTE!O29),"-")</f>
        <v>89453.837836666688</v>
      </c>
      <c r="P29" s="108">
        <f>IFERROR(IF(ISBLANK(Current_DTE!P29),INDEX(Minutes_by_use_case!$B$2:$B$9,MATCH($B29,Minutes_by_use_case!$A$2:$A$9,0)),Current_DTE!P29),"-")</f>
        <v>89453.837836666688</v>
      </c>
      <c r="Q29" s="108">
        <f>IFERROR(IF(ISBLANK(Current_DTE!Q29),INDEX(Minutes_by_use_case!$B$2:$B$9,MATCH($B29,Minutes_by_use_case!$A$2:$A$9,0)),Current_DTE!Q29),"-")</f>
        <v>89453.837836666688</v>
      </c>
      <c r="R29" s="108">
        <f>IFERROR(IF(ISBLANK(Current_DTE!R29),INDEX(Minutes_by_use_case!$B$2:$B$9,MATCH($B29,Minutes_by_use_case!$A$2:$A$9,0)),Current_DTE!R29),"-")</f>
        <v>89453.837836666688</v>
      </c>
      <c r="S29" s="108">
        <f>IFERROR(IF(ISBLANK(Current_DTE!S29),INDEX(Minutes_by_use_case!$B$2:$B$9,MATCH($B29,Minutes_by_use_case!$A$2:$A$9,0)),Current_DTE!S29),"-")</f>
        <v>89453.837836666688</v>
      </c>
      <c r="T29" s="108">
        <f>IFERROR(IF(ISBLANK(Current_DTE!T29),INDEX(Minutes_by_use_case!$B$2:$B$9,MATCH($B29,Minutes_by_use_case!$A$2:$A$9,0)),Current_DTE!T29),"-")</f>
        <v>89453.837836666688</v>
      </c>
      <c r="U29" s="108">
        <f>IFERROR(IF(ISBLANK(Current_DTE!U29),INDEX(Minutes_by_use_case!$B$2:$B$9,MATCH($B29,Minutes_by_use_case!$A$2:$A$9,0)),Current_DTE!U29),"-")</f>
        <v>89453.837836666688</v>
      </c>
      <c r="V29" s="108">
        <f>IFERROR(IF(ISBLANK(Current_DTE!V29),INDEX(Minutes_by_use_case!$B$2:$B$9,MATCH($B29,Minutes_by_use_case!$A$2:$A$9,0)),Current_DTE!V29),"-")</f>
        <v>89453.837836666688</v>
      </c>
    </row>
    <row r="30" spans="1:22" x14ac:dyDescent="0.3">
      <c r="A30" s="32" t="s">
        <v>61</v>
      </c>
      <c r="B30" s="40" t="s">
        <v>42</v>
      </c>
      <c r="C30" s="108">
        <f>IFERROR(IF(ISBLANK(Current_DTE!C30),INDEX(Minutes_by_use_case!$B$2:$B$9,MATCH($B30,Minutes_by_use_case!$A$2:$A$9,0)),Current_DTE!C30),"-")</f>
        <v>721.11352444444435</v>
      </c>
      <c r="D30" s="108">
        <f>IFERROR(IF(ISBLANK(Current_DTE!D30),INDEX(Minutes_by_use_case!$B$2:$B$9,MATCH($B30,Minutes_by_use_case!$A$2:$A$9,0)),Current_DTE!D30),"-")</f>
        <v>721.11352444444435</v>
      </c>
      <c r="E30" s="108">
        <f>IFERROR(IF(ISBLANK(Current_DTE!E30),INDEX(Minutes_by_use_case!$B$2:$B$9,MATCH($B30,Minutes_by_use_case!$A$2:$A$9,0)),Current_DTE!E30),"-")</f>
        <v>721.11352444444435</v>
      </c>
      <c r="F30" s="108">
        <f>IFERROR(IF(ISBLANK(Current_DTE!F30),INDEX(Minutes_by_use_case!$B$2:$B$9,MATCH($B30,Minutes_by_use_case!$A$2:$A$9,0)),Current_DTE!F30),"-")</f>
        <v>721.11352444444435</v>
      </c>
      <c r="G30" s="108">
        <f>IFERROR(IF(ISBLANK(Current_DTE!G30),INDEX(Minutes_by_use_case!$B$2:$B$9,MATCH($B30,Minutes_by_use_case!$A$2:$A$9,0)),Current_DTE!G30),"-")</f>
        <v>721.11352444444435</v>
      </c>
      <c r="H30" s="108">
        <f>IFERROR(IF(ISBLANK(Current_DTE!H30),INDEX(Minutes_by_use_case!$B$2:$B$9,MATCH($B30,Minutes_by_use_case!$A$2:$A$9,0)),Current_DTE!H30),"-")</f>
        <v>721.11352444444435</v>
      </c>
      <c r="I30" s="108">
        <f>IFERROR(IF(ISBLANK(Current_DTE!I30),INDEX(Minutes_by_use_case!$B$2:$B$9,MATCH($B30,Minutes_by_use_case!$A$2:$A$9,0)),Current_DTE!I30),"-")</f>
        <v>721.11352444444435</v>
      </c>
      <c r="J30" s="108">
        <f>IFERROR(IF(ISBLANK(Current_DTE!J30),INDEX(Minutes_by_use_case!$B$2:$B$9,MATCH($B30,Minutes_by_use_case!$A$2:$A$9,0)),Current_DTE!J30),"-")</f>
        <v>721.11352444444435</v>
      </c>
      <c r="K30" s="108">
        <f>IFERROR(IF(ISBLANK(Current_DTE!K30),INDEX(Minutes_by_use_case!$B$2:$B$9,MATCH($B30,Minutes_by_use_case!$A$2:$A$9,0)),Current_DTE!K30),"-")</f>
        <v>721.11352444444435</v>
      </c>
      <c r="L30" s="108">
        <f>IFERROR(IF(ISBLANK(Current_DTE!L30),INDEX(Minutes_by_use_case!$B$2:$B$9,MATCH($B30,Minutes_by_use_case!$A$2:$A$9,0)),Current_DTE!L30),"-")</f>
        <v>721.11352444444435</v>
      </c>
      <c r="M30" s="108">
        <f>IFERROR(IF(ISBLANK(Current_DTE!M30),INDEX(Minutes_by_use_case!$B$2:$B$9,MATCH($B30,Minutes_by_use_case!$A$2:$A$9,0)),Current_DTE!M30),"-")</f>
        <v>721.11352444444435</v>
      </c>
      <c r="N30" s="108">
        <f>IFERROR(IF(ISBLANK(Current_DTE!N30),INDEX(Minutes_by_use_case!$B$2:$B$9,MATCH($B30,Minutes_by_use_case!$A$2:$A$9,0)),Current_DTE!N30),"-")</f>
        <v>721.11352444444435</v>
      </c>
      <c r="O30" s="108">
        <f>IFERROR(IF(ISBLANK(Current_DTE!O30),INDEX(Minutes_by_use_case!$B$2:$B$9,MATCH($B30,Minutes_by_use_case!$A$2:$A$9,0)),Current_DTE!O30),"-")</f>
        <v>721.11352444444435</v>
      </c>
      <c r="P30" s="108">
        <f>IFERROR(IF(ISBLANK(Current_DTE!P30),INDEX(Minutes_by_use_case!$B$2:$B$9,MATCH($B30,Minutes_by_use_case!$A$2:$A$9,0)),Current_DTE!P30),"-")</f>
        <v>721.11352444444435</v>
      </c>
      <c r="Q30" s="108">
        <f>IFERROR(IF(ISBLANK(Current_DTE!Q30),INDEX(Minutes_by_use_case!$B$2:$B$9,MATCH($B30,Minutes_by_use_case!$A$2:$A$9,0)),Current_DTE!Q30),"-")</f>
        <v>721.11352444444435</v>
      </c>
      <c r="R30" s="108">
        <f>IFERROR(IF(ISBLANK(Current_DTE!R30),INDEX(Minutes_by_use_case!$B$2:$B$9,MATCH($B30,Minutes_by_use_case!$A$2:$A$9,0)),Current_DTE!R30),"-")</f>
        <v>721.11352444444435</v>
      </c>
      <c r="S30" s="108">
        <f>IFERROR(IF(ISBLANK(Current_DTE!S30),INDEX(Minutes_by_use_case!$B$2:$B$9,MATCH($B30,Minutes_by_use_case!$A$2:$A$9,0)),Current_DTE!S30),"-")</f>
        <v>721.11352444444435</v>
      </c>
      <c r="T30" s="108">
        <f>IFERROR(IF(ISBLANK(Current_DTE!T30),INDEX(Minutes_by_use_case!$B$2:$B$9,MATCH($B30,Minutes_by_use_case!$A$2:$A$9,0)),Current_DTE!T30),"-")</f>
        <v>721.11352444444435</v>
      </c>
      <c r="U30" s="108">
        <f>IFERROR(IF(ISBLANK(Current_DTE!U30),INDEX(Minutes_by_use_case!$B$2:$B$9,MATCH($B30,Minutes_by_use_case!$A$2:$A$9,0)),Current_DTE!U30),"-")</f>
        <v>721.11352444444435</v>
      </c>
      <c r="V30" s="108">
        <f>IFERROR(IF(ISBLANK(Current_DTE!V30),INDEX(Minutes_by_use_case!$B$2:$B$9,MATCH($B30,Minutes_by_use_case!$A$2:$A$9,0)),Current_DTE!V30),"-")</f>
        <v>721.11352444444435</v>
      </c>
    </row>
    <row r="31" spans="1:22" x14ac:dyDescent="0.3">
      <c r="A31" s="32" t="s">
        <v>71</v>
      </c>
      <c r="B31" s="33" t="s">
        <v>40</v>
      </c>
      <c r="C31" s="108">
        <f>IFERROR(IF(ISBLANK(Current_DTE!C31),INDEX(Minutes_by_use_case!$B$2:$B$9,MATCH($B31,Minutes_by_use_case!$A$2:$A$9,0)),Current_DTE!C31),"-")</f>
        <v>221.29177222222222</v>
      </c>
      <c r="D31" s="108">
        <f>IFERROR(IF(ISBLANK(Current_DTE!D31),INDEX(Minutes_by_use_case!$B$2:$B$9,MATCH($B31,Minutes_by_use_case!$A$2:$A$9,0)),Current_DTE!D31),"-")</f>
        <v>244.03194444444446</v>
      </c>
      <c r="E31" s="108">
        <f>IFERROR(IF(ISBLANK(Current_DTE!E31),INDEX(Minutes_by_use_case!$B$2:$B$9,MATCH($B31,Minutes_by_use_case!$A$2:$A$9,0)),Current_DTE!E31),"-")</f>
        <v>248.09916666666669</v>
      </c>
      <c r="F31" s="108">
        <f>IFERROR(IF(ISBLANK(Current_DTE!F31),INDEX(Minutes_by_use_case!$B$2:$B$9,MATCH($B31,Minutes_by_use_case!$A$2:$A$9,0)),Current_DTE!F31),"-")</f>
        <v>251.81902111111111</v>
      </c>
      <c r="G31" s="108">
        <f>IFERROR(IF(ISBLANK(Current_DTE!G31),INDEX(Minutes_by_use_case!$B$2:$B$9,MATCH($B31,Minutes_by_use_case!$A$2:$A$9,0)),Current_DTE!G31),"-")</f>
        <v>251.81902111111111</v>
      </c>
      <c r="H31" s="108">
        <f>IFERROR(IF(ISBLANK(Current_DTE!H31),INDEX(Minutes_by_use_case!$B$2:$B$9,MATCH($B31,Minutes_by_use_case!$A$2:$A$9,0)),Current_DTE!H31),"-")</f>
        <v>251.81902111111111</v>
      </c>
      <c r="I31" s="108">
        <f>IFERROR(IF(ISBLANK(Current_DTE!I31),INDEX(Minutes_by_use_case!$B$2:$B$9,MATCH($B31,Minutes_by_use_case!$A$2:$A$9,0)),Current_DTE!I31),"-")</f>
        <v>251.81902111111111</v>
      </c>
      <c r="J31" s="108">
        <f>IFERROR(IF(ISBLANK(Current_DTE!J31),INDEX(Minutes_by_use_case!$B$2:$B$9,MATCH($B31,Minutes_by_use_case!$A$2:$A$9,0)),Current_DTE!J31),"-")</f>
        <v>251.81902111111111</v>
      </c>
      <c r="K31" s="108">
        <f>IFERROR(IF(ISBLANK(Current_DTE!K31),INDEX(Minutes_by_use_case!$B$2:$B$9,MATCH($B31,Minutes_by_use_case!$A$2:$A$9,0)),Current_DTE!K31),"-")</f>
        <v>251.81902111111111</v>
      </c>
      <c r="L31" s="108">
        <f>IFERROR(IF(ISBLANK(Current_DTE!L31),INDEX(Minutes_by_use_case!$B$2:$B$9,MATCH($B31,Minutes_by_use_case!$A$2:$A$9,0)),Current_DTE!L31),"-")</f>
        <v>251.81902111111111</v>
      </c>
      <c r="M31" s="108">
        <f>IFERROR(IF(ISBLANK(Current_DTE!M31),INDEX(Minutes_by_use_case!$B$2:$B$9,MATCH($B31,Minutes_by_use_case!$A$2:$A$9,0)),Current_DTE!M31),"-")</f>
        <v>251.81902111111111</v>
      </c>
      <c r="N31" s="108">
        <f>IFERROR(IF(ISBLANK(Current_DTE!N31),INDEX(Minutes_by_use_case!$B$2:$B$9,MATCH($B31,Minutes_by_use_case!$A$2:$A$9,0)),Current_DTE!N31),"-")</f>
        <v>251.81902111111111</v>
      </c>
      <c r="O31" s="108">
        <f>IFERROR(IF(ISBLANK(Current_DTE!O31),INDEX(Minutes_by_use_case!$B$2:$B$9,MATCH($B31,Minutes_by_use_case!$A$2:$A$9,0)),Current_DTE!O31),"-")</f>
        <v>251.81902111111111</v>
      </c>
      <c r="P31" s="108">
        <f>IFERROR(IF(ISBLANK(Current_DTE!P31),INDEX(Minutes_by_use_case!$B$2:$B$9,MATCH($B31,Minutes_by_use_case!$A$2:$A$9,0)),Current_DTE!P31),"-")</f>
        <v>251.81902111111111</v>
      </c>
      <c r="Q31" s="108">
        <f>IFERROR(IF(ISBLANK(Current_DTE!Q31),INDEX(Minutes_by_use_case!$B$2:$B$9,MATCH($B31,Minutes_by_use_case!$A$2:$A$9,0)),Current_DTE!Q31),"-")</f>
        <v>251.81902111111111</v>
      </c>
      <c r="R31" s="108">
        <f>IFERROR(IF(ISBLANK(Current_DTE!R31),INDEX(Minutes_by_use_case!$B$2:$B$9,MATCH($B31,Minutes_by_use_case!$A$2:$A$9,0)),Current_DTE!R31),"-")</f>
        <v>251.81902111111111</v>
      </c>
      <c r="S31" s="108">
        <f>IFERROR(IF(ISBLANK(Current_DTE!S31),INDEX(Minutes_by_use_case!$B$2:$B$9,MATCH($B31,Minutes_by_use_case!$A$2:$A$9,0)),Current_DTE!S31),"-")</f>
        <v>251.81902111111111</v>
      </c>
      <c r="T31" s="108">
        <f>IFERROR(IF(ISBLANK(Current_DTE!T31),INDEX(Minutes_by_use_case!$B$2:$B$9,MATCH($B31,Minutes_by_use_case!$A$2:$A$9,0)),Current_DTE!T31),"-")</f>
        <v>251.81902111111111</v>
      </c>
      <c r="U31" s="108">
        <f>IFERROR(IF(ISBLANK(Current_DTE!U31),INDEX(Minutes_by_use_case!$B$2:$B$9,MATCH($B31,Minutes_by_use_case!$A$2:$A$9,0)),Current_DTE!U31),"-")</f>
        <v>251.81902111111111</v>
      </c>
      <c r="V31" s="108">
        <f>IFERROR(IF(ISBLANK(Current_DTE!V31),INDEX(Minutes_by_use_case!$B$2:$B$9,MATCH($B31,Minutes_by_use_case!$A$2:$A$9,0)),Current_DTE!V31),"-")</f>
        <v>251.81902111111111</v>
      </c>
    </row>
    <row r="32" spans="1:22" x14ac:dyDescent="0.3">
      <c r="A32" s="32" t="s">
        <v>27</v>
      </c>
      <c r="B32" s="40" t="s">
        <v>45</v>
      </c>
      <c r="C32" s="108">
        <f>IFERROR(IF(ISBLANK(Current_DTE!C32),INDEX(Minutes_by_use_case!$B$2:$B$9,MATCH($B32,Minutes_by_use_case!$A$2:$A$9,0)),Current_DTE!C32),"-")</f>
        <v>64.996111111111119</v>
      </c>
      <c r="D32" s="108">
        <f>IFERROR(IF(ISBLANK(Current_DTE!D32),INDEX(Minutes_by_use_case!$B$2:$B$9,MATCH($B32,Minutes_by_use_case!$A$2:$A$9,0)),Current_DTE!D32),"-")</f>
        <v>0</v>
      </c>
      <c r="E32" s="108">
        <f>IFERROR(IF(ISBLANK(Current_DTE!E32),INDEX(Minutes_by_use_case!$B$2:$B$9,MATCH($B32,Minutes_by_use_case!$A$2:$A$9,0)),Current_DTE!E32),"-")</f>
        <v>0</v>
      </c>
      <c r="F32" s="108">
        <f>IFERROR(IF(ISBLANK(Current_DTE!F32),INDEX(Minutes_by_use_case!$B$2:$B$9,MATCH($B32,Minutes_by_use_case!$A$2:$A$9,0)),Current_DTE!F32),"-")</f>
        <v>111.85489222222222</v>
      </c>
      <c r="G32" s="108">
        <f>IFERROR(IF(ISBLANK(Current_DTE!G32),INDEX(Minutes_by_use_case!$B$2:$B$9,MATCH($B32,Minutes_by_use_case!$A$2:$A$9,0)),Current_DTE!G32),"-")</f>
        <v>111.85489222222222</v>
      </c>
      <c r="H32" s="108">
        <f>IFERROR(IF(ISBLANK(Current_DTE!H32),INDEX(Minutes_by_use_case!$B$2:$B$9,MATCH($B32,Minutes_by_use_case!$A$2:$A$9,0)),Current_DTE!H32),"-")</f>
        <v>111.85489222222222</v>
      </c>
      <c r="I32" s="108">
        <f>IFERROR(IF(ISBLANK(Current_DTE!I32),INDEX(Minutes_by_use_case!$B$2:$B$9,MATCH($B32,Minutes_by_use_case!$A$2:$A$9,0)),Current_DTE!I32),"-")</f>
        <v>111.85489222222222</v>
      </c>
      <c r="J32" s="108">
        <f>IFERROR(IF(ISBLANK(Current_DTE!J32),INDEX(Minutes_by_use_case!$B$2:$B$9,MATCH($B32,Minutes_by_use_case!$A$2:$A$9,0)),Current_DTE!J32),"-")</f>
        <v>111.85489222222222</v>
      </c>
      <c r="K32" s="108">
        <f>IFERROR(IF(ISBLANK(Current_DTE!K32),INDEX(Minutes_by_use_case!$B$2:$B$9,MATCH($B32,Minutes_by_use_case!$A$2:$A$9,0)),Current_DTE!K32),"-")</f>
        <v>111.85489222222222</v>
      </c>
      <c r="L32" s="108">
        <f>IFERROR(IF(ISBLANK(Current_DTE!L32),INDEX(Minutes_by_use_case!$B$2:$B$9,MATCH($B32,Minutes_by_use_case!$A$2:$A$9,0)),Current_DTE!L32),"-")</f>
        <v>111.85489222222222</v>
      </c>
      <c r="M32" s="108">
        <f>IFERROR(IF(ISBLANK(Current_DTE!M32),INDEX(Minutes_by_use_case!$B$2:$B$9,MATCH($B32,Minutes_by_use_case!$A$2:$A$9,0)),Current_DTE!M32),"-")</f>
        <v>111.85489222222222</v>
      </c>
      <c r="N32" s="108">
        <f>IFERROR(IF(ISBLANK(Current_DTE!N32),INDEX(Minutes_by_use_case!$B$2:$B$9,MATCH($B32,Minutes_by_use_case!$A$2:$A$9,0)),Current_DTE!N32),"-")</f>
        <v>111.85489222222222</v>
      </c>
      <c r="O32" s="108">
        <f>IFERROR(IF(ISBLANK(Current_DTE!O32),INDEX(Minutes_by_use_case!$B$2:$B$9,MATCH($B32,Minutes_by_use_case!$A$2:$A$9,0)),Current_DTE!O32),"-")</f>
        <v>111.85489222222222</v>
      </c>
      <c r="P32" s="108">
        <f>IFERROR(IF(ISBLANK(Current_DTE!P32),INDEX(Minutes_by_use_case!$B$2:$B$9,MATCH($B32,Minutes_by_use_case!$A$2:$A$9,0)),Current_DTE!P32),"-")</f>
        <v>111.85489222222222</v>
      </c>
      <c r="Q32" s="108">
        <f>IFERROR(IF(ISBLANK(Current_DTE!Q32),INDEX(Minutes_by_use_case!$B$2:$B$9,MATCH($B32,Minutes_by_use_case!$A$2:$A$9,0)),Current_DTE!Q32),"-")</f>
        <v>111.85489222222222</v>
      </c>
      <c r="R32" s="108">
        <f>IFERROR(IF(ISBLANK(Current_DTE!R32),INDEX(Minutes_by_use_case!$B$2:$B$9,MATCH($B32,Minutes_by_use_case!$A$2:$A$9,0)),Current_DTE!R32),"-")</f>
        <v>111.85489222222222</v>
      </c>
      <c r="S32" s="108">
        <f>IFERROR(IF(ISBLANK(Current_DTE!S32),INDEX(Minutes_by_use_case!$B$2:$B$9,MATCH($B32,Minutes_by_use_case!$A$2:$A$9,0)),Current_DTE!S32),"-")</f>
        <v>111.85489222222222</v>
      </c>
      <c r="T32" s="108">
        <f>IFERROR(IF(ISBLANK(Current_DTE!T32),INDEX(Minutes_by_use_case!$B$2:$B$9,MATCH($B32,Minutes_by_use_case!$A$2:$A$9,0)),Current_DTE!T32),"-")</f>
        <v>111.85489222222222</v>
      </c>
      <c r="U32" s="108">
        <f>IFERROR(IF(ISBLANK(Current_DTE!U32),INDEX(Minutes_by_use_case!$B$2:$B$9,MATCH($B32,Minutes_by_use_case!$A$2:$A$9,0)),Current_DTE!U32),"-")</f>
        <v>111.85489222222222</v>
      </c>
      <c r="V32" s="108">
        <f>IFERROR(IF(ISBLANK(Current_DTE!V32),INDEX(Minutes_by_use_case!$B$2:$B$9,MATCH($B32,Minutes_by_use_case!$A$2:$A$9,0)),Current_DTE!V32),"-")</f>
        <v>111.85489222222222</v>
      </c>
    </row>
    <row r="33" spans="1:22" x14ac:dyDescent="0.3">
      <c r="A33" s="32" t="s">
        <v>39</v>
      </c>
      <c r="B33" s="33" t="s">
        <v>41</v>
      </c>
      <c r="C33" s="108">
        <f>IFERROR(IF(ISBLANK(Current_DTE!C33),INDEX(Minutes_by_use_case!$B$2:$B$9,MATCH($B33,Minutes_by_use_case!$A$2:$A$9,0)),Current_DTE!C33),"-")</f>
        <v>575.81194444444441</v>
      </c>
      <c r="D33" s="108">
        <f>IFERROR(IF(ISBLANK(Current_DTE!D33),INDEX(Minutes_by_use_case!$B$2:$B$9,MATCH($B33,Minutes_by_use_case!$A$2:$A$9,0)),Current_DTE!D33),"-")</f>
        <v>580.59861111111104</v>
      </c>
      <c r="E33" s="108">
        <f>IFERROR(IF(ISBLANK(Current_DTE!E33),INDEX(Minutes_by_use_case!$B$2:$B$9,MATCH($B33,Minutes_by_use_case!$A$2:$A$9,0)),Current_DTE!E33),"-")</f>
        <v>499.24888888888893</v>
      </c>
      <c r="F33" s="108">
        <f>IFERROR(IF(ISBLANK(Current_DTE!F33),INDEX(Minutes_by_use_case!$B$2:$B$9,MATCH($B33,Minutes_by_use_case!$A$2:$A$9,0)),Current_DTE!F33),"-")</f>
        <v>565.82727777777768</v>
      </c>
      <c r="G33" s="108">
        <f>IFERROR(IF(ISBLANK(Current_DTE!G33),INDEX(Minutes_by_use_case!$B$2:$B$9,MATCH($B33,Minutes_by_use_case!$A$2:$A$9,0)),Current_DTE!G33),"-")</f>
        <v>565.82727777777768</v>
      </c>
      <c r="H33" s="108">
        <f>IFERROR(IF(ISBLANK(Current_DTE!H33),INDEX(Minutes_by_use_case!$B$2:$B$9,MATCH($B33,Minutes_by_use_case!$A$2:$A$9,0)),Current_DTE!H33),"-")</f>
        <v>565.82727777777768</v>
      </c>
      <c r="I33" s="108">
        <f>IFERROR(IF(ISBLANK(Current_DTE!I33),INDEX(Minutes_by_use_case!$B$2:$B$9,MATCH($B33,Minutes_by_use_case!$A$2:$A$9,0)),Current_DTE!I33),"-")</f>
        <v>565.82727777777768</v>
      </c>
      <c r="J33" s="108">
        <f>IFERROR(IF(ISBLANK(Current_DTE!J33),INDEX(Minutes_by_use_case!$B$2:$B$9,MATCH($B33,Minutes_by_use_case!$A$2:$A$9,0)),Current_DTE!J33),"-")</f>
        <v>565.82727777777768</v>
      </c>
      <c r="K33" s="108">
        <f>IFERROR(IF(ISBLANK(Current_DTE!K33),INDEX(Minutes_by_use_case!$B$2:$B$9,MATCH($B33,Minutes_by_use_case!$A$2:$A$9,0)),Current_DTE!K33),"-")</f>
        <v>565.82727777777768</v>
      </c>
      <c r="L33" s="108">
        <f>IFERROR(IF(ISBLANK(Current_DTE!L33),INDEX(Minutes_by_use_case!$B$2:$B$9,MATCH($B33,Minutes_by_use_case!$A$2:$A$9,0)),Current_DTE!L33),"-")</f>
        <v>565.82727777777768</v>
      </c>
      <c r="M33" s="108">
        <f>IFERROR(IF(ISBLANK(Current_DTE!M33),INDEX(Minutes_by_use_case!$B$2:$B$9,MATCH($B33,Minutes_by_use_case!$A$2:$A$9,0)),Current_DTE!M33),"-")</f>
        <v>565.82727777777768</v>
      </c>
      <c r="N33" s="108">
        <f>IFERROR(IF(ISBLANK(Current_DTE!N33),INDEX(Minutes_by_use_case!$B$2:$B$9,MATCH($B33,Minutes_by_use_case!$A$2:$A$9,0)),Current_DTE!N33),"-")</f>
        <v>565.82727777777768</v>
      </c>
      <c r="O33" s="108">
        <f>IFERROR(IF(ISBLANK(Current_DTE!O33),INDEX(Minutes_by_use_case!$B$2:$B$9,MATCH($B33,Minutes_by_use_case!$A$2:$A$9,0)),Current_DTE!O33),"-")</f>
        <v>565.82727777777768</v>
      </c>
      <c r="P33" s="108">
        <f>IFERROR(IF(ISBLANK(Current_DTE!P33),INDEX(Minutes_by_use_case!$B$2:$B$9,MATCH($B33,Minutes_by_use_case!$A$2:$A$9,0)),Current_DTE!P33),"-")</f>
        <v>565.82727777777768</v>
      </c>
      <c r="Q33" s="108">
        <f>IFERROR(IF(ISBLANK(Current_DTE!Q33),INDEX(Minutes_by_use_case!$B$2:$B$9,MATCH($B33,Minutes_by_use_case!$A$2:$A$9,0)),Current_DTE!Q33),"-")</f>
        <v>565.82727777777768</v>
      </c>
      <c r="R33" s="108">
        <f>IFERROR(IF(ISBLANK(Current_DTE!R33),INDEX(Minutes_by_use_case!$B$2:$B$9,MATCH($B33,Minutes_by_use_case!$A$2:$A$9,0)),Current_DTE!R33),"-")</f>
        <v>565.82727777777768</v>
      </c>
      <c r="S33" s="108">
        <f>IFERROR(IF(ISBLANK(Current_DTE!S33),INDEX(Minutes_by_use_case!$B$2:$B$9,MATCH($B33,Minutes_by_use_case!$A$2:$A$9,0)),Current_DTE!S33),"-")</f>
        <v>565.82727777777768</v>
      </c>
      <c r="T33" s="108">
        <f>IFERROR(IF(ISBLANK(Current_DTE!T33),INDEX(Minutes_by_use_case!$B$2:$B$9,MATCH($B33,Minutes_by_use_case!$A$2:$A$9,0)),Current_DTE!T33),"-")</f>
        <v>565.82727777777768</v>
      </c>
      <c r="U33" s="108">
        <f>IFERROR(IF(ISBLANK(Current_DTE!U33),INDEX(Minutes_by_use_case!$B$2:$B$9,MATCH($B33,Minutes_by_use_case!$A$2:$A$9,0)),Current_DTE!U33),"-")</f>
        <v>565.82727777777768</v>
      </c>
      <c r="V33" s="108">
        <f>IFERROR(IF(ISBLANK(Current_DTE!V33),INDEX(Minutes_by_use_case!$B$2:$B$9,MATCH($B33,Minutes_by_use_case!$A$2:$A$9,0)),Current_DTE!V33),"-")</f>
        <v>565.82727777777768</v>
      </c>
    </row>
    <row r="34" spans="1:22" x14ac:dyDescent="0.3">
      <c r="A34" s="32" t="s">
        <v>28</v>
      </c>
      <c r="B34" s="32"/>
      <c r="C34" s="108" t="str">
        <f>IFERROR(IF(ISBLANK(Current_DTE!C34),INDEX(Minutes_by_use_case!$B$2:$B$9,MATCH($B34,Minutes_by_use_case!$A$2:$A$9,0)),Current_DTE!C34),"-")</f>
        <v>-</v>
      </c>
      <c r="D34" s="108" t="str">
        <f>IFERROR(IF(ISBLANK(Current_DTE!D34),INDEX(Minutes_by_use_case!$B$2:$B$9,MATCH($B34,Minutes_by_use_case!$A$2:$A$9,0)),Current_DTE!D34),"-")</f>
        <v>-</v>
      </c>
      <c r="E34" s="108" t="str">
        <f>IFERROR(IF(ISBLANK(Current_DTE!E34),INDEX(Minutes_by_use_case!$B$2:$B$9,MATCH($B34,Minutes_by_use_case!$A$2:$A$9,0)),Current_DTE!E34),"-")</f>
        <v>-</v>
      </c>
      <c r="F34" s="108" t="str">
        <f>IFERROR(IF(ISBLANK(Current_DTE!F34),INDEX(Minutes_by_use_case!$B$2:$B$9,MATCH($B34,Minutes_by_use_case!$A$2:$A$9,0)),Current_DTE!F34),"-")</f>
        <v>-</v>
      </c>
      <c r="G34" s="108" t="str">
        <f>IFERROR(IF(ISBLANK(Current_DTE!G34),INDEX(Minutes_by_use_case!$B$2:$B$9,MATCH($B34,Minutes_by_use_case!$A$2:$A$9,0)),Current_DTE!G34),"-")</f>
        <v>-</v>
      </c>
      <c r="H34" s="108" t="str">
        <f>IFERROR(IF(ISBLANK(Current_DTE!H34),INDEX(Minutes_by_use_case!$B$2:$B$9,MATCH($B34,Minutes_by_use_case!$A$2:$A$9,0)),Current_DTE!H34),"-")</f>
        <v>-</v>
      </c>
      <c r="I34" s="108" t="str">
        <f>IFERROR(IF(ISBLANK(Current_DTE!I34),INDEX(Minutes_by_use_case!$B$2:$B$9,MATCH($B34,Minutes_by_use_case!$A$2:$A$9,0)),Current_DTE!I34),"-")</f>
        <v>-</v>
      </c>
      <c r="J34" s="108" t="str">
        <f>IFERROR(IF(ISBLANK(Current_DTE!J34),INDEX(Minutes_by_use_case!$B$2:$B$9,MATCH($B34,Minutes_by_use_case!$A$2:$A$9,0)),Current_DTE!J34),"-")</f>
        <v>-</v>
      </c>
      <c r="K34" s="108" t="str">
        <f>IFERROR(IF(ISBLANK(Current_DTE!K34),INDEX(Minutes_by_use_case!$B$2:$B$9,MATCH($B34,Minutes_by_use_case!$A$2:$A$9,0)),Current_DTE!K34),"-")</f>
        <v>-</v>
      </c>
      <c r="L34" s="108" t="str">
        <f>IFERROR(IF(ISBLANK(Current_DTE!L34),INDEX(Minutes_by_use_case!$B$2:$B$9,MATCH($B34,Minutes_by_use_case!$A$2:$A$9,0)),Current_DTE!L34),"-")</f>
        <v>-</v>
      </c>
      <c r="M34" s="108" t="str">
        <f>IFERROR(IF(ISBLANK(Current_DTE!M34),INDEX(Minutes_by_use_case!$B$2:$B$9,MATCH($B34,Minutes_by_use_case!$A$2:$A$9,0)),Current_DTE!M34),"-")</f>
        <v>-</v>
      </c>
      <c r="N34" s="108" t="str">
        <f>IFERROR(IF(ISBLANK(Current_DTE!N34),INDEX(Minutes_by_use_case!$B$2:$B$9,MATCH($B34,Minutes_by_use_case!$A$2:$A$9,0)),Current_DTE!N34),"-")</f>
        <v>-</v>
      </c>
      <c r="O34" s="108" t="str">
        <f>IFERROR(IF(ISBLANK(Current_DTE!O34),INDEX(Minutes_by_use_case!$B$2:$B$9,MATCH($B34,Minutes_by_use_case!$A$2:$A$9,0)),Current_DTE!O34),"-")</f>
        <v>-</v>
      </c>
      <c r="P34" s="108" t="str">
        <f>IFERROR(IF(ISBLANK(Current_DTE!P34),INDEX(Minutes_by_use_case!$B$2:$B$9,MATCH($B34,Minutes_by_use_case!$A$2:$A$9,0)),Current_DTE!P34),"-")</f>
        <v>-</v>
      </c>
      <c r="Q34" s="108" t="str">
        <f>IFERROR(IF(ISBLANK(Current_DTE!Q34),INDEX(Minutes_by_use_case!$B$2:$B$9,MATCH($B34,Minutes_by_use_case!$A$2:$A$9,0)),Current_DTE!Q34),"-")</f>
        <v>-</v>
      </c>
      <c r="R34" s="108" t="str">
        <f>IFERROR(IF(ISBLANK(Current_DTE!R34),INDEX(Minutes_by_use_case!$B$2:$B$9,MATCH($B34,Minutes_by_use_case!$A$2:$A$9,0)),Current_DTE!R34),"-")</f>
        <v>-</v>
      </c>
      <c r="S34" s="108" t="str">
        <f>IFERROR(IF(ISBLANK(Current_DTE!S34),INDEX(Minutes_by_use_case!$B$2:$B$9,MATCH($B34,Minutes_by_use_case!$A$2:$A$9,0)),Current_DTE!S34),"-")</f>
        <v>-</v>
      </c>
      <c r="T34" s="108" t="str">
        <f>IFERROR(IF(ISBLANK(Current_DTE!T34),INDEX(Minutes_by_use_case!$B$2:$B$9,MATCH($B34,Minutes_by_use_case!$A$2:$A$9,0)),Current_DTE!T34),"-")</f>
        <v>-</v>
      </c>
      <c r="U34" s="108" t="str">
        <f>IFERROR(IF(ISBLANK(Current_DTE!U34),INDEX(Minutes_by_use_case!$B$2:$B$9,MATCH($B34,Minutes_by_use_case!$A$2:$A$9,0)),Current_DTE!U34),"-")</f>
        <v>-</v>
      </c>
      <c r="V34" s="108" t="str">
        <f>IFERROR(IF(ISBLANK(Current_DTE!V34),INDEX(Minutes_by_use_case!$B$2:$B$9,MATCH($B34,Minutes_by_use_case!$A$2:$A$9,0)),Current_DTE!V34),"-")</f>
        <v>-</v>
      </c>
    </row>
    <row r="35" spans="1:22" x14ac:dyDescent="0.3">
      <c r="A35" s="32" t="s">
        <v>62</v>
      </c>
      <c r="B35" s="33" t="s">
        <v>41</v>
      </c>
      <c r="C35" s="108">
        <f>IFERROR(IF(ISBLANK(Current_DTE!C35),INDEX(Minutes_by_use_case!$B$2:$B$9,MATCH($B35,Minutes_by_use_case!$A$2:$A$9,0)),Current_DTE!C35),"-")</f>
        <v>64.579722222222216</v>
      </c>
      <c r="D35" s="108">
        <f>IFERROR(IF(ISBLANK(Current_DTE!D35),INDEX(Minutes_by_use_case!$B$2:$B$9,MATCH($B35,Minutes_by_use_case!$A$2:$A$9,0)),Current_DTE!D35),"-")</f>
        <v>56.487941666666664</v>
      </c>
      <c r="E35" s="108">
        <f>IFERROR(IF(ISBLANK(Current_DTE!E35),INDEX(Minutes_by_use_case!$B$2:$B$9,MATCH($B35,Minutes_by_use_case!$A$2:$A$9,0)),Current_DTE!E35),"-")</f>
        <v>49.259444444444441</v>
      </c>
      <c r="F35" s="108">
        <f>IFERROR(IF(ISBLANK(Current_DTE!F35),INDEX(Minutes_by_use_case!$B$2:$B$9,MATCH($B35,Minutes_by_use_case!$A$2:$A$9,0)),Current_DTE!F35),"-")</f>
        <v>60.035777777777774</v>
      </c>
      <c r="G35" s="108">
        <f>IFERROR(IF(ISBLANK(Current_DTE!G35),INDEX(Minutes_by_use_case!$B$2:$B$9,MATCH($B35,Minutes_by_use_case!$A$2:$A$9,0)),Current_DTE!G35),"-")</f>
        <v>60.035777777777774</v>
      </c>
      <c r="H35" s="108">
        <f>IFERROR(IF(ISBLANK(Current_DTE!H35),INDEX(Minutes_by_use_case!$B$2:$B$9,MATCH($B35,Minutes_by_use_case!$A$2:$A$9,0)),Current_DTE!H35),"-")</f>
        <v>60.035777777777774</v>
      </c>
      <c r="I35" s="108">
        <f>IFERROR(IF(ISBLANK(Current_DTE!I35),INDEX(Minutes_by_use_case!$B$2:$B$9,MATCH($B35,Minutes_by_use_case!$A$2:$A$9,0)),Current_DTE!I35),"-")</f>
        <v>60.035777777777774</v>
      </c>
      <c r="J35" s="108">
        <f>IFERROR(IF(ISBLANK(Current_DTE!J35),INDEX(Minutes_by_use_case!$B$2:$B$9,MATCH($B35,Minutes_by_use_case!$A$2:$A$9,0)),Current_DTE!J35),"-")</f>
        <v>60.035777777777774</v>
      </c>
      <c r="K35" s="108">
        <f>IFERROR(IF(ISBLANK(Current_DTE!K35),INDEX(Minutes_by_use_case!$B$2:$B$9,MATCH($B35,Minutes_by_use_case!$A$2:$A$9,0)),Current_DTE!K35),"-")</f>
        <v>60.035777777777774</v>
      </c>
      <c r="L35" s="108">
        <f>IFERROR(IF(ISBLANK(Current_DTE!L35),INDEX(Minutes_by_use_case!$B$2:$B$9,MATCH($B35,Minutes_by_use_case!$A$2:$A$9,0)),Current_DTE!L35),"-")</f>
        <v>60.035777777777774</v>
      </c>
      <c r="M35" s="108">
        <f>IFERROR(IF(ISBLANK(Current_DTE!M35),INDEX(Minutes_by_use_case!$B$2:$B$9,MATCH($B35,Minutes_by_use_case!$A$2:$A$9,0)),Current_DTE!M35),"-")</f>
        <v>60.035777777777774</v>
      </c>
      <c r="N35" s="108">
        <f>IFERROR(IF(ISBLANK(Current_DTE!N35),INDEX(Minutes_by_use_case!$B$2:$B$9,MATCH($B35,Minutes_by_use_case!$A$2:$A$9,0)),Current_DTE!N35),"-")</f>
        <v>60.035777777777774</v>
      </c>
      <c r="O35" s="108">
        <f>IFERROR(IF(ISBLANK(Current_DTE!O35),INDEX(Minutes_by_use_case!$B$2:$B$9,MATCH($B35,Minutes_by_use_case!$A$2:$A$9,0)),Current_DTE!O35),"-")</f>
        <v>60.035777777777774</v>
      </c>
      <c r="P35" s="108">
        <f>IFERROR(IF(ISBLANK(Current_DTE!P35),INDEX(Minutes_by_use_case!$B$2:$B$9,MATCH($B35,Minutes_by_use_case!$A$2:$A$9,0)),Current_DTE!P35),"-")</f>
        <v>60.035777777777774</v>
      </c>
      <c r="Q35" s="108">
        <f>IFERROR(IF(ISBLANK(Current_DTE!Q35),INDEX(Minutes_by_use_case!$B$2:$B$9,MATCH($B35,Minutes_by_use_case!$A$2:$A$9,0)),Current_DTE!Q35),"-")</f>
        <v>60.035777777777774</v>
      </c>
      <c r="R35" s="108">
        <f>IFERROR(IF(ISBLANK(Current_DTE!R35),INDEX(Minutes_by_use_case!$B$2:$B$9,MATCH($B35,Minutes_by_use_case!$A$2:$A$9,0)),Current_DTE!R35),"-")</f>
        <v>60.035777777777774</v>
      </c>
      <c r="S35" s="108">
        <f>IFERROR(IF(ISBLANK(Current_DTE!S35),INDEX(Minutes_by_use_case!$B$2:$B$9,MATCH($B35,Minutes_by_use_case!$A$2:$A$9,0)),Current_DTE!S35),"-")</f>
        <v>60.035777777777774</v>
      </c>
      <c r="T35" s="108">
        <f>IFERROR(IF(ISBLANK(Current_DTE!T35),INDEX(Minutes_by_use_case!$B$2:$B$9,MATCH($B35,Minutes_by_use_case!$A$2:$A$9,0)),Current_DTE!T35),"-")</f>
        <v>60.035777777777774</v>
      </c>
      <c r="U35" s="108">
        <f>IFERROR(IF(ISBLANK(Current_DTE!U35),INDEX(Minutes_by_use_case!$B$2:$B$9,MATCH($B35,Minutes_by_use_case!$A$2:$A$9,0)),Current_DTE!U35),"-")</f>
        <v>60.035777777777774</v>
      </c>
      <c r="V35" s="108">
        <f>IFERROR(IF(ISBLANK(Current_DTE!V35),INDEX(Minutes_by_use_case!$B$2:$B$9,MATCH($B35,Minutes_by_use_case!$A$2:$A$9,0)),Current_DTE!V35),"-")</f>
        <v>60.035777777777774</v>
      </c>
    </row>
    <row r="36" spans="1:22" x14ac:dyDescent="0.3">
      <c r="A36" s="32" t="s">
        <v>29</v>
      </c>
      <c r="B36" s="33" t="s">
        <v>41</v>
      </c>
      <c r="C36" s="108">
        <f>IFERROR(IF(ISBLANK(Current_DTE!C36),INDEX(Minutes_by_use_case!$B$2:$B$9,MATCH($B36,Minutes_by_use_case!$A$2:$A$9,0)),Current_DTE!C36),"-")</f>
        <v>133409.35004928565</v>
      </c>
      <c r="D36" s="108">
        <f>IFERROR(IF(ISBLANK(Current_DTE!D36),INDEX(Minutes_by_use_case!$B$2:$B$9,MATCH($B36,Minutes_by_use_case!$A$2:$A$9,0)),Current_DTE!D36),"-")</f>
        <v>133409.35004928565</v>
      </c>
      <c r="E36" s="108">
        <f>IFERROR(IF(ISBLANK(Current_DTE!E36),INDEX(Minutes_by_use_case!$B$2:$B$9,MATCH($B36,Minutes_by_use_case!$A$2:$A$9,0)),Current_DTE!E36),"-")</f>
        <v>133409.35004928565</v>
      </c>
      <c r="F36" s="108">
        <f>IFERROR(IF(ISBLANK(Current_DTE!F36),INDEX(Minutes_by_use_case!$B$2:$B$9,MATCH($B36,Minutes_by_use_case!$A$2:$A$9,0)),Current_DTE!F36),"-")</f>
        <v>133409.35004928565</v>
      </c>
      <c r="G36" s="108">
        <f>IFERROR(IF(ISBLANK(Current_DTE!G36),INDEX(Minutes_by_use_case!$B$2:$B$9,MATCH($B36,Minutes_by_use_case!$A$2:$A$9,0)),Current_DTE!G36),"-")</f>
        <v>133409.35004928565</v>
      </c>
      <c r="H36" s="108">
        <f>IFERROR(IF(ISBLANK(Current_DTE!H36),INDEX(Minutes_by_use_case!$B$2:$B$9,MATCH($B36,Minutes_by_use_case!$A$2:$A$9,0)),Current_DTE!H36),"-")</f>
        <v>133409.35004928565</v>
      </c>
      <c r="I36" s="108">
        <f>IFERROR(IF(ISBLANK(Current_DTE!I36),INDEX(Minutes_by_use_case!$B$2:$B$9,MATCH($B36,Minutes_by_use_case!$A$2:$A$9,0)),Current_DTE!I36),"-")</f>
        <v>133409.35004928565</v>
      </c>
      <c r="J36" s="108">
        <f>IFERROR(IF(ISBLANK(Current_DTE!J36),INDEX(Minutes_by_use_case!$B$2:$B$9,MATCH($B36,Minutes_by_use_case!$A$2:$A$9,0)),Current_DTE!J36),"-")</f>
        <v>133409.35004928565</v>
      </c>
      <c r="K36" s="108">
        <f>IFERROR(IF(ISBLANK(Current_DTE!K36),INDEX(Minutes_by_use_case!$B$2:$B$9,MATCH($B36,Minutes_by_use_case!$A$2:$A$9,0)),Current_DTE!K36),"-")</f>
        <v>133409.35004928565</v>
      </c>
      <c r="L36" s="108">
        <f>IFERROR(IF(ISBLANK(Current_DTE!L36),INDEX(Minutes_by_use_case!$B$2:$B$9,MATCH($B36,Minutes_by_use_case!$A$2:$A$9,0)),Current_DTE!L36),"-")</f>
        <v>133409.35004928565</v>
      </c>
      <c r="M36" s="108">
        <f>IFERROR(IF(ISBLANK(Current_DTE!M36),INDEX(Minutes_by_use_case!$B$2:$B$9,MATCH($B36,Minutes_by_use_case!$A$2:$A$9,0)),Current_DTE!M36),"-")</f>
        <v>133409.35004928565</v>
      </c>
      <c r="N36" s="108">
        <f>IFERROR(IF(ISBLANK(Current_DTE!N36),INDEX(Minutes_by_use_case!$B$2:$B$9,MATCH($B36,Minutes_by_use_case!$A$2:$A$9,0)),Current_DTE!N36),"-")</f>
        <v>133409.35004928565</v>
      </c>
      <c r="O36" s="108">
        <f>IFERROR(IF(ISBLANK(Current_DTE!O36),INDEX(Minutes_by_use_case!$B$2:$B$9,MATCH($B36,Minutes_by_use_case!$A$2:$A$9,0)),Current_DTE!O36),"-")</f>
        <v>133409.35004928565</v>
      </c>
      <c r="P36" s="108">
        <f>IFERROR(IF(ISBLANK(Current_DTE!P36),INDEX(Minutes_by_use_case!$B$2:$B$9,MATCH($B36,Minutes_by_use_case!$A$2:$A$9,0)),Current_DTE!P36),"-")</f>
        <v>133409.35004928565</v>
      </c>
      <c r="Q36" s="108">
        <f>IFERROR(IF(ISBLANK(Current_DTE!Q36),INDEX(Minutes_by_use_case!$B$2:$B$9,MATCH($B36,Minutes_by_use_case!$A$2:$A$9,0)),Current_DTE!Q36),"-")</f>
        <v>133409.35004928565</v>
      </c>
      <c r="R36" s="108">
        <f>IFERROR(IF(ISBLANK(Current_DTE!R36),INDEX(Minutes_by_use_case!$B$2:$B$9,MATCH($B36,Minutes_by_use_case!$A$2:$A$9,0)),Current_DTE!R36),"-")</f>
        <v>133409.35004928565</v>
      </c>
      <c r="S36" s="108">
        <f>IFERROR(IF(ISBLANK(Current_DTE!S36),INDEX(Minutes_by_use_case!$B$2:$B$9,MATCH($B36,Minutes_by_use_case!$A$2:$A$9,0)),Current_DTE!S36),"-")</f>
        <v>133409.35004928565</v>
      </c>
      <c r="T36" s="108">
        <f>IFERROR(IF(ISBLANK(Current_DTE!T36),INDEX(Minutes_by_use_case!$B$2:$B$9,MATCH($B36,Minutes_by_use_case!$A$2:$A$9,0)),Current_DTE!T36),"-")</f>
        <v>133409.35004928565</v>
      </c>
      <c r="U36" s="108">
        <f>IFERROR(IF(ISBLANK(Current_DTE!U36),INDEX(Minutes_by_use_case!$B$2:$B$9,MATCH($B36,Minutes_by_use_case!$A$2:$A$9,0)),Current_DTE!U36),"-")</f>
        <v>133409.35004928565</v>
      </c>
      <c r="V36" s="108">
        <f>IFERROR(IF(ISBLANK(Current_DTE!V36),INDEX(Minutes_by_use_case!$B$2:$B$9,MATCH($B36,Minutes_by_use_case!$A$2:$A$9,0)),Current_DTE!V36),"-")</f>
        <v>133409.35004928565</v>
      </c>
    </row>
    <row r="37" spans="1:22" x14ac:dyDescent="0.3">
      <c r="A37" s="32" t="s">
        <v>30</v>
      </c>
      <c r="B37" s="40" t="s">
        <v>43</v>
      </c>
      <c r="C37" s="108">
        <f>IFERROR(IF(ISBLANK(Current_DTE!C37),INDEX(Minutes_by_use_case!$B$2:$B$9,MATCH($B37,Minutes_by_use_case!$A$2:$A$9,0)),Current_DTE!C37),"-")</f>
        <v>171572.29579277776</v>
      </c>
      <c r="D37" s="108">
        <f>IFERROR(IF(ISBLANK(Current_DTE!D37),INDEX(Minutes_by_use_case!$B$2:$B$9,MATCH($B37,Minutes_by_use_case!$A$2:$A$9,0)),Current_DTE!D37),"-")</f>
        <v>171572.29579277776</v>
      </c>
      <c r="E37" s="108">
        <f>IFERROR(IF(ISBLANK(Current_DTE!E37),INDEX(Minutes_by_use_case!$B$2:$B$9,MATCH($B37,Minutes_by_use_case!$A$2:$A$9,0)),Current_DTE!E37),"-")</f>
        <v>171572.29579277776</v>
      </c>
      <c r="F37" s="108">
        <f>IFERROR(IF(ISBLANK(Current_DTE!F37),INDEX(Minutes_by_use_case!$B$2:$B$9,MATCH($B37,Minutes_by_use_case!$A$2:$A$9,0)),Current_DTE!F37),"-")</f>
        <v>171572.29579277776</v>
      </c>
      <c r="G37" s="108">
        <f>IFERROR(IF(ISBLANK(Current_DTE!G37),INDEX(Minutes_by_use_case!$B$2:$B$9,MATCH($B37,Minutes_by_use_case!$A$2:$A$9,0)),Current_DTE!G37),"-")</f>
        <v>171572.29579277776</v>
      </c>
      <c r="H37" s="108">
        <f>IFERROR(IF(ISBLANK(Current_DTE!H37),INDEX(Minutes_by_use_case!$B$2:$B$9,MATCH($B37,Minutes_by_use_case!$A$2:$A$9,0)),Current_DTE!H37),"-")</f>
        <v>171572.29579277776</v>
      </c>
      <c r="I37" s="108">
        <f>IFERROR(IF(ISBLANK(Current_DTE!I37),INDEX(Minutes_by_use_case!$B$2:$B$9,MATCH($B37,Minutes_by_use_case!$A$2:$A$9,0)),Current_DTE!I37),"-")</f>
        <v>171572.29579277776</v>
      </c>
      <c r="J37" s="108">
        <f>IFERROR(IF(ISBLANK(Current_DTE!J37),INDEX(Minutes_by_use_case!$B$2:$B$9,MATCH($B37,Minutes_by_use_case!$A$2:$A$9,0)),Current_DTE!J37),"-")</f>
        <v>171572.29579277776</v>
      </c>
      <c r="K37" s="108">
        <f>IFERROR(IF(ISBLANK(Current_DTE!K37),INDEX(Minutes_by_use_case!$B$2:$B$9,MATCH($B37,Minutes_by_use_case!$A$2:$A$9,0)),Current_DTE!K37),"-")</f>
        <v>171572.29579277776</v>
      </c>
      <c r="L37" s="108">
        <f>IFERROR(IF(ISBLANK(Current_DTE!L37),INDEX(Minutes_by_use_case!$B$2:$B$9,MATCH($B37,Minutes_by_use_case!$A$2:$A$9,0)),Current_DTE!L37),"-")</f>
        <v>171572.29579277776</v>
      </c>
      <c r="M37" s="108">
        <f>IFERROR(IF(ISBLANK(Current_DTE!M37),INDEX(Minutes_by_use_case!$B$2:$B$9,MATCH($B37,Minutes_by_use_case!$A$2:$A$9,0)),Current_DTE!M37),"-")</f>
        <v>171572.29579277776</v>
      </c>
      <c r="N37" s="108">
        <f>IFERROR(IF(ISBLANK(Current_DTE!N37),INDEX(Minutes_by_use_case!$B$2:$B$9,MATCH($B37,Minutes_by_use_case!$A$2:$A$9,0)),Current_DTE!N37),"-")</f>
        <v>171572.29579277776</v>
      </c>
      <c r="O37" s="108">
        <f>IFERROR(IF(ISBLANK(Current_DTE!O37),INDEX(Minutes_by_use_case!$B$2:$B$9,MATCH($B37,Minutes_by_use_case!$A$2:$A$9,0)),Current_DTE!O37),"-")</f>
        <v>171572.29579277776</v>
      </c>
      <c r="P37" s="108">
        <f>IFERROR(IF(ISBLANK(Current_DTE!P37),INDEX(Minutes_by_use_case!$B$2:$B$9,MATCH($B37,Minutes_by_use_case!$A$2:$A$9,0)),Current_DTE!P37),"-")</f>
        <v>171572.29579277776</v>
      </c>
      <c r="Q37" s="108">
        <f>IFERROR(IF(ISBLANK(Current_DTE!Q37),INDEX(Minutes_by_use_case!$B$2:$B$9,MATCH($B37,Minutes_by_use_case!$A$2:$A$9,0)),Current_DTE!Q37),"-")</f>
        <v>171572.29579277776</v>
      </c>
      <c r="R37" s="108">
        <f>IFERROR(IF(ISBLANK(Current_DTE!R37),INDEX(Minutes_by_use_case!$B$2:$B$9,MATCH($B37,Minutes_by_use_case!$A$2:$A$9,0)),Current_DTE!R37),"-")</f>
        <v>171572.29579277776</v>
      </c>
      <c r="S37" s="108">
        <f>IFERROR(IF(ISBLANK(Current_DTE!S37),INDEX(Minutes_by_use_case!$B$2:$B$9,MATCH($B37,Minutes_by_use_case!$A$2:$A$9,0)),Current_DTE!S37),"-")</f>
        <v>171572.29579277776</v>
      </c>
      <c r="T37" s="108">
        <f>IFERROR(IF(ISBLANK(Current_DTE!T37),INDEX(Minutes_by_use_case!$B$2:$B$9,MATCH($B37,Minutes_by_use_case!$A$2:$A$9,0)),Current_DTE!T37),"-")</f>
        <v>171572.29579277776</v>
      </c>
      <c r="U37" s="108">
        <f>IFERROR(IF(ISBLANK(Current_DTE!U37),INDEX(Minutes_by_use_case!$B$2:$B$9,MATCH($B37,Minutes_by_use_case!$A$2:$A$9,0)),Current_DTE!U37),"-")</f>
        <v>171572.29579277776</v>
      </c>
      <c r="V37" s="108">
        <f>IFERROR(IF(ISBLANK(Current_DTE!V37),INDEX(Minutes_by_use_case!$B$2:$B$9,MATCH($B37,Minutes_by_use_case!$A$2:$A$9,0)),Current_DTE!V37),"-")</f>
        <v>171572.29579277776</v>
      </c>
    </row>
    <row r="38" spans="1:22" x14ac:dyDescent="0.3">
      <c r="A38" s="32" t="s">
        <v>31</v>
      </c>
      <c r="B38" s="41" t="s">
        <v>48</v>
      </c>
      <c r="C38" s="108" t="str">
        <f>IFERROR(IF(ISBLANK(Current_DTE!C38),INDEX(Minutes_by_use_case!$B$2:$B$9,MATCH($B38,Minutes_by_use_case!$A$2:$A$9,0)),Current_DTE!C38),"-")</f>
        <v>-</v>
      </c>
      <c r="D38" s="108" t="str">
        <f>IFERROR(IF(ISBLANK(Current_DTE!D38),INDEX(Minutes_by_use_case!$B$2:$B$9,MATCH($B38,Minutes_by_use_case!$A$2:$A$9,0)),Current_DTE!D38),"-")</f>
        <v>-</v>
      </c>
      <c r="E38" s="108" t="str">
        <f>IFERROR(IF(ISBLANK(Current_DTE!E38),INDEX(Minutes_by_use_case!$B$2:$B$9,MATCH($B38,Minutes_by_use_case!$A$2:$A$9,0)),Current_DTE!E38),"-")</f>
        <v>-</v>
      </c>
      <c r="F38" s="108" t="str">
        <f>IFERROR(IF(ISBLANK(Current_DTE!F38),INDEX(Minutes_by_use_case!$B$2:$B$9,MATCH($B38,Minutes_by_use_case!$A$2:$A$9,0)),Current_DTE!F38),"-")</f>
        <v>-</v>
      </c>
      <c r="G38" s="108" t="str">
        <f>IFERROR(IF(ISBLANK(Current_DTE!G38),INDEX(Minutes_by_use_case!$B$2:$B$9,MATCH($B38,Minutes_by_use_case!$A$2:$A$9,0)),Current_DTE!G38),"-")</f>
        <v>-</v>
      </c>
      <c r="H38" s="108" t="str">
        <f>IFERROR(IF(ISBLANK(Current_DTE!H38),INDEX(Minutes_by_use_case!$B$2:$B$9,MATCH($B38,Minutes_by_use_case!$A$2:$A$9,0)),Current_DTE!H38),"-")</f>
        <v>-</v>
      </c>
      <c r="I38" s="108" t="str">
        <f>IFERROR(IF(ISBLANK(Current_DTE!I38),INDEX(Minutes_by_use_case!$B$2:$B$9,MATCH($B38,Minutes_by_use_case!$A$2:$A$9,0)),Current_DTE!I38),"-")</f>
        <v>-</v>
      </c>
      <c r="J38" s="108" t="str">
        <f>IFERROR(IF(ISBLANK(Current_DTE!J38),INDEX(Minutes_by_use_case!$B$2:$B$9,MATCH($B38,Minutes_by_use_case!$A$2:$A$9,0)),Current_DTE!J38),"-")</f>
        <v>-</v>
      </c>
      <c r="K38" s="108" t="str">
        <f>IFERROR(IF(ISBLANK(Current_DTE!K38),INDEX(Minutes_by_use_case!$B$2:$B$9,MATCH($B38,Minutes_by_use_case!$A$2:$A$9,0)),Current_DTE!K38),"-")</f>
        <v>-</v>
      </c>
      <c r="L38" s="108" t="str">
        <f>IFERROR(IF(ISBLANK(Current_DTE!L38),INDEX(Minutes_by_use_case!$B$2:$B$9,MATCH($B38,Minutes_by_use_case!$A$2:$A$9,0)),Current_DTE!L38),"-")</f>
        <v>-</v>
      </c>
      <c r="M38" s="108" t="str">
        <f>IFERROR(IF(ISBLANK(Current_DTE!M38),INDEX(Minutes_by_use_case!$B$2:$B$9,MATCH($B38,Minutes_by_use_case!$A$2:$A$9,0)),Current_DTE!M38),"-")</f>
        <v>-</v>
      </c>
      <c r="N38" s="108" t="str">
        <f>IFERROR(IF(ISBLANK(Current_DTE!N38),INDEX(Minutes_by_use_case!$B$2:$B$9,MATCH($B38,Minutes_by_use_case!$A$2:$A$9,0)),Current_DTE!N38),"-")</f>
        <v>-</v>
      </c>
      <c r="O38" s="108" t="str">
        <f>IFERROR(IF(ISBLANK(Current_DTE!O38),INDEX(Minutes_by_use_case!$B$2:$B$9,MATCH($B38,Minutes_by_use_case!$A$2:$A$9,0)),Current_DTE!O38),"-")</f>
        <v>-</v>
      </c>
      <c r="P38" s="108" t="str">
        <f>IFERROR(IF(ISBLANK(Current_DTE!P38),INDEX(Minutes_by_use_case!$B$2:$B$9,MATCH($B38,Minutes_by_use_case!$A$2:$A$9,0)),Current_DTE!P38),"-")</f>
        <v>-</v>
      </c>
      <c r="Q38" s="108" t="str">
        <f>IFERROR(IF(ISBLANK(Current_DTE!Q38),INDEX(Minutes_by_use_case!$B$2:$B$9,MATCH($B38,Minutes_by_use_case!$A$2:$A$9,0)),Current_DTE!Q38),"-")</f>
        <v>-</v>
      </c>
      <c r="R38" s="108" t="str">
        <f>IFERROR(IF(ISBLANK(Current_DTE!R38),INDEX(Minutes_by_use_case!$B$2:$B$9,MATCH($B38,Minutes_by_use_case!$A$2:$A$9,0)),Current_DTE!R38),"-")</f>
        <v>-</v>
      </c>
      <c r="S38" s="108" t="str">
        <f>IFERROR(IF(ISBLANK(Current_DTE!S38),INDEX(Minutes_by_use_case!$B$2:$B$9,MATCH($B38,Minutes_by_use_case!$A$2:$A$9,0)),Current_DTE!S38),"-")</f>
        <v>-</v>
      </c>
      <c r="T38" s="108" t="str">
        <f>IFERROR(IF(ISBLANK(Current_DTE!T38),INDEX(Minutes_by_use_case!$B$2:$B$9,MATCH($B38,Minutes_by_use_case!$A$2:$A$9,0)),Current_DTE!T38),"-")</f>
        <v>-</v>
      </c>
      <c r="U38" s="108" t="str">
        <f>IFERROR(IF(ISBLANK(Current_DTE!U38),INDEX(Minutes_by_use_case!$B$2:$B$9,MATCH($B38,Minutes_by_use_case!$A$2:$A$9,0)),Current_DTE!U38),"-")</f>
        <v>-</v>
      </c>
      <c r="V38" s="108" t="str">
        <f>IFERROR(IF(ISBLANK(Current_DTE!V38),INDEX(Minutes_by_use_case!$B$2:$B$9,MATCH($B38,Minutes_by_use_case!$A$2:$A$9,0)),Current_DTE!V38),"-")</f>
        <v>-</v>
      </c>
    </row>
    <row r="39" spans="1:22" x14ac:dyDescent="0.3">
      <c r="A39" s="32" t="s">
        <v>32</v>
      </c>
      <c r="B39" s="41" t="s">
        <v>48</v>
      </c>
      <c r="C39" s="108" t="str">
        <f>IFERROR(IF(ISBLANK(Current_DTE!C39),INDEX(Minutes_by_use_case!$B$2:$B$9,MATCH($B39,Minutes_by_use_case!$A$2:$A$9,0)),Current_DTE!C39),"-")</f>
        <v>-</v>
      </c>
      <c r="D39" s="108" t="str">
        <f>IFERROR(IF(ISBLANK(Current_DTE!D39),INDEX(Minutes_by_use_case!$B$2:$B$9,MATCH($B39,Minutes_by_use_case!$A$2:$A$9,0)),Current_DTE!D39),"-")</f>
        <v>-</v>
      </c>
      <c r="E39" s="108" t="str">
        <f>IFERROR(IF(ISBLANK(Current_DTE!E39),INDEX(Minutes_by_use_case!$B$2:$B$9,MATCH($B39,Minutes_by_use_case!$A$2:$A$9,0)),Current_DTE!E39),"-")</f>
        <v>-</v>
      </c>
      <c r="F39" s="108" t="str">
        <f>IFERROR(IF(ISBLANK(Current_DTE!F39),INDEX(Minutes_by_use_case!$B$2:$B$9,MATCH($B39,Minutes_by_use_case!$A$2:$A$9,0)),Current_DTE!F39),"-")</f>
        <v>-</v>
      </c>
      <c r="G39" s="108" t="str">
        <f>IFERROR(IF(ISBLANK(Current_DTE!G39),INDEX(Minutes_by_use_case!$B$2:$B$9,MATCH($B39,Minutes_by_use_case!$A$2:$A$9,0)),Current_DTE!G39),"-")</f>
        <v>-</v>
      </c>
      <c r="H39" s="108" t="str">
        <f>IFERROR(IF(ISBLANK(Current_DTE!H39),INDEX(Minutes_by_use_case!$B$2:$B$9,MATCH($B39,Minutes_by_use_case!$A$2:$A$9,0)),Current_DTE!H39),"-")</f>
        <v>-</v>
      </c>
      <c r="I39" s="108" t="str">
        <f>IFERROR(IF(ISBLANK(Current_DTE!I39),INDEX(Minutes_by_use_case!$B$2:$B$9,MATCH($B39,Minutes_by_use_case!$A$2:$A$9,0)),Current_DTE!I39),"-")</f>
        <v>-</v>
      </c>
      <c r="J39" s="108" t="str">
        <f>IFERROR(IF(ISBLANK(Current_DTE!J39),INDEX(Minutes_by_use_case!$B$2:$B$9,MATCH($B39,Minutes_by_use_case!$A$2:$A$9,0)),Current_DTE!J39),"-")</f>
        <v>-</v>
      </c>
      <c r="K39" s="108" t="str">
        <f>IFERROR(IF(ISBLANK(Current_DTE!K39),INDEX(Minutes_by_use_case!$B$2:$B$9,MATCH($B39,Minutes_by_use_case!$A$2:$A$9,0)),Current_DTE!K39),"-")</f>
        <v>-</v>
      </c>
      <c r="L39" s="108" t="str">
        <f>IFERROR(IF(ISBLANK(Current_DTE!L39),INDEX(Minutes_by_use_case!$B$2:$B$9,MATCH($B39,Minutes_by_use_case!$A$2:$A$9,0)),Current_DTE!L39),"-")</f>
        <v>-</v>
      </c>
      <c r="M39" s="108" t="str">
        <f>IFERROR(IF(ISBLANK(Current_DTE!M39),INDEX(Minutes_by_use_case!$B$2:$B$9,MATCH($B39,Minutes_by_use_case!$A$2:$A$9,0)),Current_DTE!M39),"-")</f>
        <v>-</v>
      </c>
      <c r="N39" s="108" t="str">
        <f>IFERROR(IF(ISBLANK(Current_DTE!N39),INDEX(Minutes_by_use_case!$B$2:$B$9,MATCH($B39,Minutes_by_use_case!$A$2:$A$9,0)),Current_DTE!N39),"-")</f>
        <v>-</v>
      </c>
      <c r="O39" s="108" t="str">
        <f>IFERROR(IF(ISBLANK(Current_DTE!O39),INDEX(Minutes_by_use_case!$B$2:$B$9,MATCH($B39,Minutes_by_use_case!$A$2:$A$9,0)),Current_DTE!O39),"-")</f>
        <v>-</v>
      </c>
      <c r="P39" s="108" t="str">
        <f>IFERROR(IF(ISBLANK(Current_DTE!P39),INDEX(Minutes_by_use_case!$B$2:$B$9,MATCH($B39,Minutes_by_use_case!$A$2:$A$9,0)),Current_DTE!P39),"-")</f>
        <v>-</v>
      </c>
      <c r="Q39" s="108" t="str">
        <f>IFERROR(IF(ISBLANK(Current_DTE!Q39),INDEX(Minutes_by_use_case!$B$2:$B$9,MATCH($B39,Minutes_by_use_case!$A$2:$A$9,0)),Current_DTE!Q39),"-")</f>
        <v>-</v>
      </c>
      <c r="R39" s="108" t="str">
        <f>IFERROR(IF(ISBLANK(Current_DTE!R39),INDEX(Minutes_by_use_case!$B$2:$B$9,MATCH($B39,Minutes_by_use_case!$A$2:$A$9,0)),Current_DTE!R39),"-")</f>
        <v>-</v>
      </c>
      <c r="S39" s="108" t="str">
        <f>IFERROR(IF(ISBLANK(Current_DTE!S39),INDEX(Minutes_by_use_case!$B$2:$B$9,MATCH($B39,Minutes_by_use_case!$A$2:$A$9,0)),Current_DTE!S39),"-")</f>
        <v>-</v>
      </c>
      <c r="T39" s="108" t="str">
        <f>IFERROR(IF(ISBLANK(Current_DTE!T39),INDEX(Minutes_by_use_case!$B$2:$B$9,MATCH($B39,Minutes_by_use_case!$A$2:$A$9,0)),Current_DTE!T39),"-")</f>
        <v>-</v>
      </c>
      <c r="U39" s="108" t="str">
        <f>IFERROR(IF(ISBLANK(Current_DTE!U39),INDEX(Minutes_by_use_case!$B$2:$B$9,MATCH($B39,Minutes_by_use_case!$A$2:$A$9,0)),Current_DTE!U39),"-")</f>
        <v>-</v>
      </c>
      <c r="V39" s="108" t="str">
        <f>IFERROR(IF(ISBLANK(Current_DTE!V39),INDEX(Minutes_by_use_case!$B$2:$B$9,MATCH($B39,Minutes_by_use_case!$A$2:$A$9,0)),Current_DTE!V39),"-")</f>
        <v>-</v>
      </c>
    </row>
    <row r="40" spans="1:22" x14ac:dyDescent="0.3">
      <c r="A40" s="32" t="s">
        <v>33</v>
      </c>
      <c r="B40" s="33" t="s">
        <v>41</v>
      </c>
      <c r="C40" s="108">
        <f>IFERROR(IF(ISBLANK(Current_DTE!C40),INDEX(Minutes_by_use_case!$B$2:$B$9,MATCH($B40,Minutes_by_use_case!$A$2:$A$9,0)),Current_DTE!C40),"-")</f>
        <v>0</v>
      </c>
      <c r="D40" s="108">
        <f>IFERROR(IF(ISBLANK(Current_DTE!D40),INDEX(Minutes_by_use_case!$B$2:$B$9,MATCH($B40,Minutes_by_use_case!$A$2:$A$9,0)),Current_DTE!D40),"-")</f>
        <v>0</v>
      </c>
      <c r="E40" s="108">
        <f>IFERROR(IF(ISBLANK(Current_DTE!E40),INDEX(Minutes_by_use_case!$B$2:$B$9,MATCH($B40,Minutes_by_use_case!$A$2:$A$9,0)),Current_DTE!E40),"-")</f>
        <v>0</v>
      </c>
      <c r="F40" s="108">
        <f>IFERROR(IF(ISBLANK(Current_DTE!F40),INDEX(Minutes_by_use_case!$B$2:$B$9,MATCH($B40,Minutes_by_use_case!$A$2:$A$9,0)),Current_DTE!F40),"-")</f>
        <v>1368.9678622222223</v>
      </c>
      <c r="G40" s="108">
        <f>IFERROR(IF(ISBLANK(Current_DTE!G40),INDEX(Minutes_by_use_case!$B$2:$B$9,MATCH($B40,Minutes_by_use_case!$A$2:$A$9,0)),Current_DTE!G40),"-")</f>
        <v>1368.9678622222223</v>
      </c>
      <c r="H40" s="108">
        <f>IFERROR(IF(ISBLANK(Current_DTE!H40),INDEX(Minutes_by_use_case!$B$2:$B$9,MATCH($B40,Minutes_by_use_case!$A$2:$A$9,0)),Current_DTE!H40),"-")</f>
        <v>1368.9678622222223</v>
      </c>
      <c r="I40" s="108">
        <f>IFERROR(IF(ISBLANK(Current_DTE!I40),INDEX(Minutes_by_use_case!$B$2:$B$9,MATCH($B40,Minutes_by_use_case!$A$2:$A$9,0)),Current_DTE!I40),"-")</f>
        <v>1368.9678622222223</v>
      </c>
      <c r="J40" s="108">
        <f>IFERROR(IF(ISBLANK(Current_DTE!J40),INDEX(Minutes_by_use_case!$B$2:$B$9,MATCH($B40,Minutes_by_use_case!$A$2:$A$9,0)),Current_DTE!J40),"-")</f>
        <v>1368.9678622222223</v>
      </c>
      <c r="K40" s="108">
        <f>IFERROR(IF(ISBLANK(Current_DTE!K40),INDEX(Minutes_by_use_case!$B$2:$B$9,MATCH($B40,Minutes_by_use_case!$A$2:$A$9,0)),Current_DTE!K40),"-")</f>
        <v>1368.9678622222223</v>
      </c>
      <c r="L40" s="108">
        <f>IFERROR(IF(ISBLANK(Current_DTE!L40),INDEX(Minutes_by_use_case!$B$2:$B$9,MATCH($B40,Minutes_by_use_case!$A$2:$A$9,0)),Current_DTE!L40),"-")</f>
        <v>1368.9678622222223</v>
      </c>
      <c r="M40" s="108">
        <f>IFERROR(IF(ISBLANK(Current_DTE!M40),INDEX(Minutes_by_use_case!$B$2:$B$9,MATCH($B40,Minutes_by_use_case!$A$2:$A$9,0)),Current_DTE!M40),"-")</f>
        <v>1368.9678622222223</v>
      </c>
      <c r="N40" s="108">
        <f>IFERROR(IF(ISBLANK(Current_DTE!N40),INDEX(Minutes_by_use_case!$B$2:$B$9,MATCH($B40,Minutes_by_use_case!$A$2:$A$9,0)),Current_DTE!N40),"-")</f>
        <v>1368.9678622222223</v>
      </c>
      <c r="O40" s="108">
        <f>IFERROR(IF(ISBLANK(Current_DTE!O40),INDEX(Minutes_by_use_case!$B$2:$B$9,MATCH($B40,Minutes_by_use_case!$A$2:$A$9,0)),Current_DTE!O40),"-")</f>
        <v>1368.9678622222223</v>
      </c>
      <c r="P40" s="108">
        <f>IFERROR(IF(ISBLANK(Current_DTE!P40),INDEX(Minutes_by_use_case!$B$2:$B$9,MATCH($B40,Minutes_by_use_case!$A$2:$A$9,0)),Current_DTE!P40),"-")</f>
        <v>1368.9678622222223</v>
      </c>
      <c r="Q40" s="108">
        <f>IFERROR(IF(ISBLANK(Current_DTE!Q40),INDEX(Minutes_by_use_case!$B$2:$B$9,MATCH($B40,Minutes_by_use_case!$A$2:$A$9,0)),Current_DTE!Q40),"-")</f>
        <v>1368.9678622222223</v>
      </c>
      <c r="R40" s="108">
        <f>IFERROR(IF(ISBLANK(Current_DTE!R40),INDEX(Minutes_by_use_case!$B$2:$B$9,MATCH($B40,Minutes_by_use_case!$A$2:$A$9,0)),Current_DTE!R40),"-")</f>
        <v>1368.9678622222223</v>
      </c>
      <c r="S40" s="108">
        <f>IFERROR(IF(ISBLANK(Current_DTE!S40),INDEX(Minutes_by_use_case!$B$2:$B$9,MATCH($B40,Minutes_by_use_case!$A$2:$A$9,0)),Current_DTE!S40),"-")</f>
        <v>1368.9678622222223</v>
      </c>
      <c r="T40" s="108">
        <f>IFERROR(IF(ISBLANK(Current_DTE!T40),INDEX(Minutes_by_use_case!$B$2:$B$9,MATCH($B40,Minutes_by_use_case!$A$2:$A$9,0)),Current_DTE!T40),"-")</f>
        <v>1368.9678622222223</v>
      </c>
      <c r="U40" s="108">
        <f>IFERROR(IF(ISBLANK(Current_DTE!U40),INDEX(Minutes_by_use_case!$B$2:$B$9,MATCH($B40,Minutes_by_use_case!$A$2:$A$9,0)),Current_DTE!U40),"-")</f>
        <v>1368.9678622222223</v>
      </c>
      <c r="V40" s="108">
        <f>IFERROR(IF(ISBLANK(Current_DTE!V40),INDEX(Minutes_by_use_case!$B$2:$B$9,MATCH($B40,Minutes_by_use_case!$A$2:$A$9,0)),Current_DTE!V40),"-")</f>
        <v>1368.9678622222223</v>
      </c>
    </row>
    <row r="41" spans="1:22" x14ac:dyDescent="0.3">
      <c r="A41" s="32" t="s">
        <v>34</v>
      </c>
      <c r="B41" s="40" t="s">
        <v>45</v>
      </c>
      <c r="C41" s="108">
        <f>IFERROR(IF(ISBLANK(Current_DTE!C41),INDEX(Minutes_by_use_case!$B$2:$B$9,MATCH($B41,Minutes_by_use_case!$A$2:$A$9,0)),Current_DTE!C41),"-")</f>
        <v>1321.6547222222223</v>
      </c>
      <c r="D41" s="108">
        <f>IFERROR(IF(ISBLANK(Current_DTE!D41),INDEX(Minutes_by_use_case!$B$2:$B$9,MATCH($B41,Minutes_by_use_case!$A$2:$A$9,0)),Current_DTE!D41),"-")</f>
        <v>1450.1822222222222</v>
      </c>
      <c r="E41" s="108">
        <f>IFERROR(IF(ISBLANK(Current_DTE!E41),INDEX(Minutes_by_use_case!$B$2:$B$9,MATCH($B41,Minutes_by_use_case!$A$2:$A$9,0)),Current_DTE!E41),"-")</f>
        <v>1386.2452777777776</v>
      </c>
      <c r="F41" s="108">
        <f>IFERROR(IF(ISBLANK(Current_DTE!F41),INDEX(Minutes_by_use_case!$B$2:$B$9,MATCH($B41,Minutes_by_use_case!$A$2:$A$9,0)),Current_DTE!F41),"-")</f>
        <v>1393.7255555555555</v>
      </c>
      <c r="G41" s="108">
        <f>IFERROR(IF(ISBLANK(Current_DTE!G41),INDEX(Minutes_by_use_case!$B$2:$B$9,MATCH($B41,Minutes_by_use_case!$A$2:$A$9,0)),Current_DTE!G41),"-")</f>
        <v>1393.7255555555555</v>
      </c>
      <c r="H41" s="108">
        <f>IFERROR(IF(ISBLANK(Current_DTE!H41),INDEX(Minutes_by_use_case!$B$2:$B$9,MATCH($B41,Minutes_by_use_case!$A$2:$A$9,0)),Current_DTE!H41),"-")</f>
        <v>1393.7255555555555</v>
      </c>
      <c r="I41" s="108">
        <f>IFERROR(IF(ISBLANK(Current_DTE!I41),INDEX(Minutes_by_use_case!$B$2:$B$9,MATCH($B41,Minutes_by_use_case!$A$2:$A$9,0)),Current_DTE!I41),"-")</f>
        <v>1393.7255555555555</v>
      </c>
      <c r="J41" s="108">
        <f>IFERROR(IF(ISBLANK(Current_DTE!J41),INDEX(Minutes_by_use_case!$B$2:$B$9,MATCH($B41,Minutes_by_use_case!$A$2:$A$9,0)),Current_DTE!J41),"-")</f>
        <v>1393.7255555555555</v>
      </c>
      <c r="K41" s="108">
        <f>IFERROR(IF(ISBLANK(Current_DTE!K41),INDEX(Minutes_by_use_case!$B$2:$B$9,MATCH($B41,Minutes_by_use_case!$A$2:$A$9,0)),Current_DTE!K41),"-")</f>
        <v>1393.7255555555555</v>
      </c>
      <c r="L41" s="108">
        <f>IFERROR(IF(ISBLANK(Current_DTE!L41),INDEX(Minutes_by_use_case!$B$2:$B$9,MATCH($B41,Minutes_by_use_case!$A$2:$A$9,0)),Current_DTE!L41),"-")</f>
        <v>1393.7255555555555</v>
      </c>
      <c r="M41" s="108">
        <f>IFERROR(IF(ISBLANK(Current_DTE!M41),INDEX(Minutes_by_use_case!$B$2:$B$9,MATCH($B41,Minutes_by_use_case!$A$2:$A$9,0)),Current_DTE!M41),"-")</f>
        <v>1393.7255555555555</v>
      </c>
      <c r="N41" s="108">
        <f>IFERROR(IF(ISBLANK(Current_DTE!N41),INDEX(Minutes_by_use_case!$B$2:$B$9,MATCH($B41,Minutes_by_use_case!$A$2:$A$9,0)),Current_DTE!N41),"-")</f>
        <v>1393.7255555555555</v>
      </c>
      <c r="O41" s="108">
        <f>IFERROR(IF(ISBLANK(Current_DTE!O41),INDEX(Minutes_by_use_case!$B$2:$B$9,MATCH($B41,Minutes_by_use_case!$A$2:$A$9,0)),Current_DTE!O41),"-")</f>
        <v>1393.7255555555555</v>
      </c>
      <c r="P41" s="108">
        <f>IFERROR(IF(ISBLANK(Current_DTE!P41),INDEX(Minutes_by_use_case!$B$2:$B$9,MATCH($B41,Minutes_by_use_case!$A$2:$A$9,0)),Current_DTE!P41),"-")</f>
        <v>1393.7255555555555</v>
      </c>
      <c r="Q41" s="108">
        <f>IFERROR(IF(ISBLANK(Current_DTE!Q41),INDEX(Minutes_by_use_case!$B$2:$B$9,MATCH($B41,Minutes_by_use_case!$A$2:$A$9,0)),Current_DTE!Q41),"-")</f>
        <v>1393.7255555555555</v>
      </c>
      <c r="R41" s="108">
        <f>IFERROR(IF(ISBLANK(Current_DTE!R41),INDEX(Minutes_by_use_case!$B$2:$B$9,MATCH($B41,Minutes_by_use_case!$A$2:$A$9,0)),Current_DTE!R41),"-")</f>
        <v>1393.7255555555555</v>
      </c>
      <c r="S41" s="108">
        <f>IFERROR(IF(ISBLANK(Current_DTE!S41),INDEX(Minutes_by_use_case!$B$2:$B$9,MATCH($B41,Minutes_by_use_case!$A$2:$A$9,0)),Current_DTE!S41),"-")</f>
        <v>1393.7255555555555</v>
      </c>
      <c r="T41" s="108">
        <f>IFERROR(IF(ISBLANK(Current_DTE!T41),INDEX(Minutes_by_use_case!$B$2:$B$9,MATCH($B41,Minutes_by_use_case!$A$2:$A$9,0)),Current_DTE!T41),"-")</f>
        <v>1393.7255555555555</v>
      </c>
      <c r="U41" s="108">
        <f>IFERROR(IF(ISBLANK(Current_DTE!U41),INDEX(Minutes_by_use_case!$B$2:$B$9,MATCH($B41,Minutes_by_use_case!$A$2:$A$9,0)),Current_DTE!U41),"-")</f>
        <v>1393.7255555555555</v>
      </c>
      <c r="V41" s="108">
        <f>IFERROR(IF(ISBLANK(Current_DTE!V41),INDEX(Minutes_by_use_case!$B$2:$B$9,MATCH($B41,Minutes_by_use_case!$A$2:$A$9,0)),Current_DTE!V41),"-")</f>
        <v>1393.7255555555555</v>
      </c>
    </row>
    <row r="42" spans="1:22" x14ac:dyDescent="0.3">
      <c r="A42" s="32" t="s">
        <v>63</v>
      </c>
      <c r="B42" s="40" t="s">
        <v>43</v>
      </c>
      <c r="C42" s="108">
        <f>IFERROR(IF(ISBLANK(Current_DTE!C42),INDEX(Minutes_by_use_case!$B$2:$B$9,MATCH($B42,Minutes_by_use_case!$A$2:$A$9,0)),Current_DTE!C42),"-")</f>
        <v>171572.29579277776</v>
      </c>
      <c r="D42" s="108">
        <f>IFERROR(IF(ISBLANK(Current_DTE!D42),INDEX(Minutes_by_use_case!$B$2:$B$9,MATCH($B42,Minutes_by_use_case!$A$2:$A$9,0)),Current_DTE!D42),"-")</f>
        <v>171572.29579277776</v>
      </c>
      <c r="E42" s="108">
        <f>IFERROR(IF(ISBLANK(Current_DTE!E42),INDEX(Minutes_by_use_case!$B$2:$B$9,MATCH($B42,Minutes_by_use_case!$A$2:$A$9,0)),Current_DTE!E42),"-")</f>
        <v>171572.29579277776</v>
      </c>
      <c r="F42" s="108">
        <f>IFERROR(IF(ISBLANK(Current_DTE!F42),INDEX(Minutes_by_use_case!$B$2:$B$9,MATCH($B42,Minutes_by_use_case!$A$2:$A$9,0)),Current_DTE!F42),"-")</f>
        <v>171572.29579277776</v>
      </c>
      <c r="G42" s="108">
        <f>IFERROR(IF(ISBLANK(Current_DTE!G42),INDEX(Minutes_by_use_case!$B$2:$B$9,MATCH($B42,Minutes_by_use_case!$A$2:$A$9,0)),Current_DTE!G42),"-")</f>
        <v>171572.29579277776</v>
      </c>
      <c r="H42" s="108">
        <f>IFERROR(IF(ISBLANK(Current_DTE!H42),INDEX(Minutes_by_use_case!$B$2:$B$9,MATCH($B42,Minutes_by_use_case!$A$2:$A$9,0)),Current_DTE!H42),"-")</f>
        <v>171572.29579277776</v>
      </c>
      <c r="I42" s="108">
        <f>IFERROR(IF(ISBLANK(Current_DTE!I42),INDEX(Minutes_by_use_case!$B$2:$B$9,MATCH($B42,Minutes_by_use_case!$A$2:$A$9,0)),Current_DTE!I42),"-")</f>
        <v>171572.29579277776</v>
      </c>
      <c r="J42" s="108">
        <f>IFERROR(IF(ISBLANK(Current_DTE!J42),INDEX(Minutes_by_use_case!$B$2:$B$9,MATCH($B42,Minutes_by_use_case!$A$2:$A$9,0)),Current_DTE!J42),"-")</f>
        <v>171572.29579277776</v>
      </c>
      <c r="K42" s="108">
        <f>IFERROR(IF(ISBLANK(Current_DTE!K42),INDEX(Minutes_by_use_case!$B$2:$B$9,MATCH($B42,Minutes_by_use_case!$A$2:$A$9,0)),Current_DTE!K42),"-")</f>
        <v>171572.29579277776</v>
      </c>
      <c r="L42" s="108">
        <f>IFERROR(IF(ISBLANK(Current_DTE!L42),INDEX(Minutes_by_use_case!$B$2:$B$9,MATCH($B42,Minutes_by_use_case!$A$2:$A$9,0)),Current_DTE!L42),"-")</f>
        <v>171572.29579277776</v>
      </c>
      <c r="M42" s="108">
        <f>IFERROR(IF(ISBLANK(Current_DTE!M42),INDEX(Minutes_by_use_case!$B$2:$B$9,MATCH($B42,Minutes_by_use_case!$A$2:$A$9,0)),Current_DTE!M42),"-")</f>
        <v>171572.29579277776</v>
      </c>
      <c r="N42" s="108">
        <f>IFERROR(IF(ISBLANK(Current_DTE!N42),INDEX(Minutes_by_use_case!$B$2:$B$9,MATCH($B42,Minutes_by_use_case!$A$2:$A$9,0)),Current_DTE!N42),"-")</f>
        <v>171572.29579277776</v>
      </c>
      <c r="O42" s="108">
        <f>IFERROR(IF(ISBLANK(Current_DTE!O42),INDEX(Minutes_by_use_case!$B$2:$B$9,MATCH($B42,Minutes_by_use_case!$A$2:$A$9,0)),Current_DTE!O42),"-")</f>
        <v>171572.29579277776</v>
      </c>
      <c r="P42" s="108">
        <f>IFERROR(IF(ISBLANK(Current_DTE!P42),INDEX(Minutes_by_use_case!$B$2:$B$9,MATCH($B42,Minutes_by_use_case!$A$2:$A$9,0)),Current_DTE!P42),"-")</f>
        <v>171572.29579277776</v>
      </c>
      <c r="Q42" s="108">
        <f>IFERROR(IF(ISBLANK(Current_DTE!Q42),INDEX(Minutes_by_use_case!$B$2:$B$9,MATCH($B42,Minutes_by_use_case!$A$2:$A$9,0)),Current_DTE!Q42),"-")</f>
        <v>171572.29579277776</v>
      </c>
      <c r="R42" s="108">
        <f>IFERROR(IF(ISBLANK(Current_DTE!R42),INDEX(Minutes_by_use_case!$B$2:$B$9,MATCH($B42,Minutes_by_use_case!$A$2:$A$9,0)),Current_DTE!R42),"-")</f>
        <v>171572.29579277776</v>
      </c>
      <c r="S42" s="108">
        <f>IFERROR(IF(ISBLANK(Current_DTE!S42),INDEX(Minutes_by_use_case!$B$2:$B$9,MATCH($B42,Minutes_by_use_case!$A$2:$A$9,0)),Current_DTE!S42),"-")</f>
        <v>171572.29579277776</v>
      </c>
      <c r="T42" s="108">
        <f>IFERROR(IF(ISBLANK(Current_DTE!T42),INDEX(Minutes_by_use_case!$B$2:$B$9,MATCH($B42,Minutes_by_use_case!$A$2:$A$9,0)),Current_DTE!T42),"-")</f>
        <v>171572.29579277776</v>
      </c>
      <c r="U42" s="108">
        <f>IFERROR(IF(ISBLANK(Current_DTE!U42),INDEX(Minutes_by_use_case!$B$2:$B$9,MATCH($B42,Minutes_by_use_case!$A$2:$A$9,0)),Current_DTE!U42),"-")</f>
        <v>171572.29579277776</v>
      </c>
      <c r="V42" s="108">
        <f>IFERROR(IF(ISBLANK(Current_DTE!V42),INDEX(Minutes_by_use_case!$B$2:$B$9,MATCH($B42,Minutes_by_use_case!$A$2:$A$9,0)),Current_DTE!V42),"-")</f>
        <v>171572.29579277776</v>
      </c>
    </row>
    <row r="43" spans="1:22" x14ac:dyDescent="0.3">
      <c r="A43" s="32" t="s">
        <v>64</v>
      </c>
      <c r="B43" s="33" t="s">
        <v>46</v>
      </c>
      <c r="C43" s="108" t="str">
        <f>IFERROR(IF(ISBLANK(Current_DTE!C43),INDEX(Minutes_by_use_case!$B$2:$B$9,MATCH($B43,Minutes_by_use_case!$A$2:$A$9,0)),Current_DTE!C43),"-")</f>
        <v>-</v>
      </c>
      <c r="D43" s="108" t="str">
        <f>IFERROR(IF(ISBLANK(Current_DTE!D43),INDEX(Minutes_by_use_case!$B$2:$B$9,MATCH($B43,Minutes_by_use_case!$A$2:$A$9,0)),Current_DTE!D43),"-")</f>
        <v>-</v>
      </c>
      <c r="E43" s="108" t="str">
        <f>IFERROR(IF(ISBLANK(Current_DTE!E43),INDEX(Minutes_by_use_case!$B$2:$B$9,MATCH($B43,Minutes_by_use_case!$A$2:$A$9,0)),Current_DTE!E43),"-")</f>
        <v>-</v>
      </c>
      <c r="F43" s="108" t="str">
        <f>IFERROR(IF(ISBLANK(Current_DTE!F43),INDEX(Minutes_by_use_case!$B$2:$B$9,MATCH($B43,Minutes_by_use_case!$A$2:$A$9,0)),Current_DTE!F43),"-")</f>
        <v>-</v>
      </c>
      <c r="G43" s="108" t="str">
        <f>IFERROR(IF(ISBLANK(Current_DTE!G43),INDEX(Minutes_by_use_case!$B$2:$B$9,MATCH($B43,Minutes_by_use_case!$A$2:$A$9,0)),Current_DTE!G43),"-")</f>
        <v>-</v>
      </c>
      <c r="H43" s="108" t="str">
        <f>IFERROR(IF(ISBLANK(Current_DTE!H43),INDEX(Minutes_by_use_case!$B$2:$B$9,MATCH($B43,Minutes_by_use_case!$A$2:$A$9,0)),Current_DTE!H43),"-")</f>
        <v>-</v>
      </c>
      <c r="I43" s="108" t="str">
        <f>IFERROR(IF(ISBLANK(Current_DTE!I43),INDEX(Minutes_by_use_case!$B$2:$B$9,MATCH($B43,Minutes_by_use_case!$A$2:$A$9,0)),Current_DTE!I43),"-")</f>
        <v>-</v>
      </c>
      <c r="J43" s="108" t="str">
        <f>IFERROR(IF(ISBLANK(Current_DTE!J43),INDEX(Minutes_by_use_case!$B$2:$B$9,MATCH($B43,Minutes_by_use_case!$A$2:$A$9,0)),Current_DTE!J43),"-")</f>
        <v>-</v>
      </c>
      <c r="K43" s="108" t="str">
        <f>IFERROR(IF(ISBLANK(Current_DTE!K43),INDEX(Minutes_by_use_case!$B$2:$B$9,MATCH($B43,Minutes_by_use_case!$A$2:$A$9,0)),Current_DTE!K43),"-")</f>
        <v>-</v>
      </c>
      <c r="L43" s="108" t="str">
        <f>IFERROR(IF(ISBLANK(Current_DTE!L43),INDEX(Minutes_by_use_case!$B$2:$B$9,MATCH($B43,Minutes_by_use_case!$A$2:$A$9,0)),Current_DTE!L43),"-")</f>
        <v>-</v>
      </c>
      <c r="M43" s="108" t="str">
        <f>IFERROR(IF(ISBLANK(Current_DTE!M43),INDEX(Minutes_by_use_case!$B$2:$B$9,MATCH($B43,Minutes_by_use_case!$A$2:$A$9,0)),Current_DTE!M43),"-")</f>
        <v>-</v>
      </c>
      <c r="N43" s="108" t="str">
        <f>IFERROR(IF(ISBLANK(Current_DTE!N43),INDEX(Minutes_by_use_case!$B$2:$B$9,MATCH($B43,Minutes_by_use_case!$A$2:$A$9,0)),Current_DTE!N43),"-")</f>
        <v>-</v>
      </c>
      <c r="O43" s="108" t="str">
        <f>IFERROR(IF(ISBLANK(Current_DTE!O43),INDEX(Minutes_by_use_case!$B$2:$B$9,MATCH($B43,Minutes_by_use_case!$A$2:$A$9,0)),Current_DTE!O43),"-")</f>
        <v>-</v>
      </c>
      <c r="P43" s="108" t="str">
        <f>IFERROR(IF(ISBLANK(Current_DTE!P43),INDEX(Minutes_by_use_case!$B$2:$B$9,MATCH($B43,Minutes_by_use_case!$A$2:$A$9,0)),Current_DTE!P43),"-")</f>
        <v>-</v>
      </c>
      <c r="Q43" s="108" t="str">
        <f>IFERROR(IF(ISBLANK(Current_DTE!Q43),INDEX(Minutes_by_use_case!$B$2:$B$9,MATCH($B43,Minutes_by_use_case!$A$2:$A$9,0)),Current_DTE!Q43),"-")</f>
        <v>-</v>
      </c>
      <c r="R43" s="108" t="str">
        <f>IFERROR(IF(ISBLANK(Current_DTE!R43),INDEX(Minutes_by_use_case!$B$2:$B$9,MATCH($B43,Minutes_by_use_case!$A$2:$A$9,0)),Current_DTE!R43),"-")</f>
        <v>-</v>
      </c>
      <c r="S43" s="108" t="str">
        <f>IFERROR(IF(ISBLANK(Current_DTE!S43),INDEX(Minutes_by_use_case!$B$2:$B$9,MATCH($B43,Minutes_by_use_case!$A$2:$A$9,0)),Current_DTE!S43),"-")</f>
        <v>-</v>
      </c>
      <c r="T43" s="108" t="str">
        <f>IFERROR(IF(ISBLANK(Current_DTE!T43),INDEX(Minutes_by_use_case!$B$2:$B$9,MATCH($B43,Minutes_by_use_case!$A$2:$A$9,0)),Current_DTE!T43),"-")</f>
        <v>-</v>
      </c>
      <c r="U43" s="108" t="str">
        <f>IFERROR(IF(ISBLANK(Current_DTE!U43),INDEX(Minutes_by_use_case!$B$2:$B$9,MATCH($B43,Minutes_by_use_case!$A$2:$A$9,0)),Current_DTE!U43),"-")</f>
        <v>-</v>
      </c>
      <c r="V43" s="108" t="str">
        <f>IFERROR(IF(ISBLANK(Current_DTE!V43),INDEX(Minutes_by_use_case!$B$2:$B$9,MATCH($B43,Minutes_by_use_case!$A$2:$A$9,0)),Current_DTE!V43),"-")</f>
        <v>-</v>
      </c>
    </row>
    <row r="44" spans="1:22" x14ac:dyDescent="0.3">
      <c r="A44" s="32" t="s">
        <v>65</v>
      </c>
      <c r="B44" s="33" t="s">
        <v>41</v>
      </c>
      <c r="C44" s="108">
        <f>IFERROR(IF(ISBLANK(Current_DTE!C44),INDEX(Minutes_by_use_case!$B$2:$B$9,MATCH($B44,Minutes_by_use_case!$A$2:$A$9,0)),Current_DTE!C44),"-")</f>
        <v>3017.8666666666668</v>
      </c>
      <c r="D44" s="108">
        <f>IFERROR(IF(ISBLANK(Current_DTE!D44),INDEX(Minutes_by_use_case!$B$2:$B$9,MATCH($B44,Minutes_by_use_case!$A$2:$A$9,0)),Current_DTE!D44),"-")</f>
        <v>3078.4611111111108</v>
      </c>
      <c r="E44" s="108">
        <f>IFERROR(IF(ISBLANK(Current_DTE!E44),INDEX(Minutes_by_use_case!$B$2:$B$9,MATCH($B44,Minutes_by_use_case!$A$2:$A$9,0)),Current_DTE!E44),"-")</f>
        <v>2765.7895222222219</v>
      </c>
      <c r="F44" s="108">
        <f>IFERROR(IF(ISBLANK(Current_DTE!F44),INDEX(Minutes_by_use_case!$B$2:$B$9,MATCH($B44,Minutes_by_use_case!$A$2:$A$9,0)),Current_DTE!F44),"-")</f>
        <v>3000.2460561111111</v>
      </c>
      <c r="G44" s="108">
        <f>IFERROR(IF(ISBLANK(Current_DTE!G44),INDEX(Minutes_by_use_case!$B$2:$B$9,MATCH($B44,Minutes_by_use_case!$A$2:$A$9,0)),Current_DTE!G44),"-")</f>
        <v>3000.2460561111111</v>
      </c>
      <c r="H44" s="108">
        <f>IFERROR(IF(ISBLANK(Current_DTE!H44),INDEX(Minutes_by_use_case!$B$2:$B$9,MATCH($B44,Minutes_by_use_case!$A$2:$A$9,0)),Current_DTE!H44),"-")</f>
        <v>3000.2460561111111</v>
      </c>
      <c r="I44" s="108">
        <f>IFERROR(IF(ISBLANK(Current_DTE!I44),INDEX(Minutes_by_use_case!$B$2:$B$9,MATCH($B44,Minutes_by_use_case!$A$2:$A$9,0)),Current_DTE!I44),"-")</f>
        <v>3000.2460561111111</v>
      </c>
      <c r="J44" s="108">
        <f>IFERROR(IF(ISBLANK(Current_DTE!J44),INDEX(Minutes_by_use_case!$B$2:$B$9,MATCH($B44,Minutes_by_use_case!$A$2:$A$9,0)),Current_DTE!J44),"-")</f>
        <v>3000.2460561111111</v>
      </c>
      <c r="K44" s="108">
        <f>IFERROR(IF(ISBLANK(Current_DTE!K44),INDEX(Minutes_by_use_case!$B$2:$B$9,MATCH($B44,Minutes_by_use_case!$A$2:$A$9,0)),Current_DTE!K44),"-")</f>
        <v>3000.2460561111111</v>
      </c>
      <c r="L44" s="108">
        <f>IFERROR(IF(ISBLANK(Current_DTE!L44),INDEX(Minutes_by_use_case!$B$2:$B$9,MATCH($B44,Minutes_by_use_case!$A$2:$A$9,0)),Current_DTE!L44),"-")</f>
        <v>3000.2460561111111</v>
      </c>
      <c r="M44" s="108">
        <f>IFERROR(IF(ISBLANK(Current_DTE!M44),INDEX(Minutes_by_use_case!$B$2:$B$9,MATCH($B44,Minutes_by_use_case!$A$2:$A$9,0)),Current_DTE!M44),"-")</f>
        <v>3000.2460561111111</v>
      </c>
      <c r="N44" s="108">
        <f>IFERROR(IF(ISBLANK(Current_DTE!N44),INDEX(Minutes_by_use_case!$B$2:$B$9,MATCH($B44,Minutes_by_use_case!$A$2:$A$9,0)),Current_DTE!N44),"-")</f>
        <v>3000.2460561111111</v>
      </c>
      <c r="O44" s="108">
        <f>IFERROR(IF(ISBLANK(Current_DTE!O44),INDEX(Minutes_by_use_case!$B$2:$B$9,MATCH($B44,Minutes_by_use_case!$A$2:$A$9,0)),Current_DTE!O44),"-")</f>
        <v>3000.2460561111111</v>
      </c>
      <c r="P44" s="108">
        <f>IFERROR(IF(ISBLANK(Current_DTE!P44),INDEX(Minutes_by_use_case!$B$2:$B$9,MATCH($B44,Minutes_by_use_case!$A$2:$A$9,0)),Current_DTE!P44),"-")</f>
        <v>3000.2460561111111</v>
      </c>
      <c r="Q44" s="108">
        <f>IFERROR(IF(ISBLANK(Current_DTE!Q44),INDEX(Minutes_by_use_case!$B$2:$B$9,MATCH($B44,Minutes_by_use_case!$A$2:$A$9,0)),Current_DTE!Q44),"-")</f>
        <v>3000.2460561111111</v>
      </c>
      <c r="R44" s="108">
        <f>IFERROR(IF(ISBLANK(Current_DTE!R44),INDEX(Minutes_by_use_case!$B$2:$B$9,MATCH($B44,Minutes_by_use_case!$A$2:$A$9,0)),Current_DTE!R44),"-")</f>
        <v>3000.2460561111111</v>
      </c>
      <c r="S44" s="108">
        <f>IFERROR(IF(ISBLANK(Current_DTE!S44),INDEX(Minutes_by_use_case!$B$2:$B$9,MATCH($B44,Minutes_by_use_case!$A$2:$A$9,0)),Current_DTE!S44),"-")</f>
        <v>3000.2460561111111</v>
      </c>
      <c r="T44" s="108">
        <f>IFERROR(IF(ISBLANK(Current_DTE!T44),INDEX(Minutes_by_use_case!$B$2:$B$9,MATCH($B44,Minutes_by_use_case!$A$2:$A$9,0)),Current_DTE!T44),"-")</f>
        <v>3000.2460561111111</v>
      </c>
      <c r="U44" s="108">
        <f>IFERROR(IF(ISBLANK(Current_DTE!U44),INDEX(Minutes_by_use_case!$B$2:$B$9,MATCH($B44,Minutes_by_use_case!$A$2:$A$9,0)),Current_DTE!U44),"-")</f>
        <v>3000.2460561111111</v>
      </c>
      <c r="V44" s="108">
        <f>IFERROR(IF(ISBLANK(Current_DTE!V44),INDEX(Minutes_by_use_case!$B$2:$B$9,MATCH($B44,Minutes_by_use_case!$A$2:$A$9,0)),Current_DTE!V44),"-")</f>
        <v>3000.2460561111111</v>
      </c>
    </row>
    <row r="45" spans="1:22" x14ac:dyDescent="0.3">
      <c r="A45" s="32" t="s">
        <v>35</v>
      </c>
      <c r="B45" s="33" t="s">
        <v>40</v>
      </c>
      <c r="C45" s="108">
        <f>IFERROR(IF(ISBLANK(Current_DTE!C45),INDEX(Minutes_by_use_case!$B$2:$B$9,MATCH($B45,Minutes_by_use_case!$A$2:$A$9,0)),Current_DTE!C45),"-")</f>
        <v>2140.4341038095235</v>
      </c>
      <c r="D45" s="108">
        <f>IFERROR(IF(ISBLANK(Current_DTE!D45),INDEX(Minutes_by_use_case!$B$2:$B$9,MATCH($B45,Minutes_by_use_case!$A$2:$A$9,0)),Current_DTE!D45),"-")</f>
        <v>2140.4341038095235</v>
      </c>
      <c r="E45" s="108">
        <f>IFERROR(IF(ISBLANK(Current_DTE!E45),INDEX(Minutes_by_use_case!$B$2:$B$9,MATCH($B45,Minutes_by_use_case!$A$2:$A$9,0)),Current_DTE!E45),"-")</f>
        <v>2140.4341038095235</v>
      </c>
      <c r="F45" s="108">
        <f>IFERROR(IF(ISBLANK(Current_DTE!F45),INDEX(Minutes_by_use_case!$B$2:$B$9,MATCH($B45,Minutes_by_use_case!$A$2:$A$9,0)),Current_DTE!F45),"-")</f>
        <v>2140.4341038095235</v>
      </c>
      <c r="G45" s="108">
        <f>IFERROR(IF(ISBLANK(Current_DTE!G45),INDEX(Minutes_by_use_case!$B$2:$B$9,MATCH($B45,Minutes_by_use_case!$A$2:$A$9,0)),Current_DTE!G45),"-")</f>
        <v>2140.4341038095235</v>
      </c>
      <c r="H45" s="108">
        <f>IFERROR(IF(ISBLANK(Current_DTE!H45),INDEX(Minutes_by_use_case!$B$2:$B$9,MATCH($B45,Minutes_by_use_case!$A$2:$A$9,0)),Current_DTE!H45),"-")</f>
        <v>2140.4341038095235</v>
      </c>
      <c r="I45" s="108">
        <f>IFERROR(IF(ISBLANK(Current_DTE!I45),INDEX(Minutes_by_use_case!$B$2:$B$9,MATCH($B45,Minutes_by_use_case!$A$2:$A$9,0)),Current_DTE!I45),"-")</f>
        <v>2140.4341038095235</v>
      </c>
      <c r="J45" s="108">
        <f>IFERROR(IF(ISBLANK(Current_DTE!J45),INDEX(Minutes_by_use_case!$B$2:$B$9,MATCH($B45,Minutes_by_use_case!$A$2:$A$9,0)),Current_DTE!J45),"-")</f>
        <v>2140.4341038095235</v>
      </c>
      <c r="K45" s="108">
        <f>IFERROR(IF(ISBLANK(Current_DTE!K45),INDEX(Minutes_by_use_case!$B$2:$B$9,MATCH($B45,Minutes_by_use_case!$A$2:$A$9,0)),Current_DTE!K45),"-")</f>
        <v>2140.4341038095235</v>
      </c>
      <c r="L45" s="108">
        <f>IFERROR(IF(ISBLANK(Current_DTE!L45),INDEX(Minutes_by_use_case!$B$2:$B$9,MATCH($B45,Minutes_by_use_case!$A$2:$A$9,0)),Current_DTE!L45),"-")</f>
        <v>2140.4341038095235</v>
      </c>
      <c r="M45" s="108">
        <f>IFERROR(IF(ISBLANK(Current_DTE!M45),INDEX(Minutes_by_use_case!$B$2:$B$9,MATCH($B45,Minutes_by_use_case!$A$2:$A$9,0)),Current_DTE!M45),"-")</f>
        <v>2140.4341038095235</v>
      </c>
      <c r="N45" s="108">
        <f>IFERROR(IF(ISBLANK(Current_DTE!N45),INDEX(Minutes_by_use_case!$B$2:$B$9,MATCH($B45,Minutes_by_use_case!$A$2:$A$9,0)),Current_DTE!N45),"-")</f>
        <v>2140.4341038095235</v>
      </c>
      <c r="O45" s="108">
        <f>IFERROR(IF(ISBLANK(Current_DTE!O45),INDEX(Minutes_by_use_case!$B$2:$B$9,MATCH($B45,Minutes_by_use_case!$A$2:$A$9,0)),Current_DTE!O45),"-")</f>
        <v>2140.4341038095235</v>
      </c>
      <c r="P45" s="108">
        <f>IFERROR(IF(ISBLANK(Current_DTE!P45),INDEX(Minutes_by_use_case!$B$2:$B$9,MATCH($B45,Minutes_by_use_case!$A$2:$A$9,0)),Current_DTE!P45),"-")</f>
        <v>2140.4341038095235</v>
      </c>
      <c r="Q45" s="108">
        <f>IFERROR(IF(ISBLANK(Current_DTE!Q45),INDEX(Minutes_by_use_case!$B$2:$B$9,MATCH($B45,Minutes_by_use_case!$A$2:$A$9,0)),Current_DTE!Q45),"-")</f>
        <v>2140.4341038095235</v>
      </c>
      <c r="R45" s="108">
        <f>IFERROR(IF(ISBLANK(Current_DTE!R45),INDEX(Minutes_by_use_case!$B$2:$B$9,MATCH($B45,Minutes_by_use_case!$A$2:$A$9,0)),Current_DTE!R45),"-")</f>
        <v>2140.4341038095235</v>
      </c>
      <c r="S45" s="108">
        <f>IFERROR(IF(ISBLANK(Current_DTE!S45),INDEX(Minutes_by_use_case!$B$2:$B$9,MATCH($B45,Minutes_by_use_case!$A$2:$A$9,0)),Current_DTE!S45),"-")</f>
        <v>2140.4341038095235</v>
      </c>
      <c r="T45" s="108">
        <f>IFERROR(IF(ISBLANK(Current_DTE!T45),INDEX(Minutes_by_use_case!$B$2:$B$9,MATCH($B45,Minutes_by_use_case!$A$2:$A$9,0)),Current_DTE!T45),"-")</f>
        <v>2140.4341038095235</v>
      </c>
      <c r="U45" s="108">
        <f>IFERROR(IF(ISBLANK(Current_DTE!U45),INDEX(Minutes_by_use_case!$B$2:$B$9,MATCH($B45,Minutes_by_use_case!$A$2:$A$9,0)),Current_DTE!U45),"-")</f>
        <v>2140.4341038095235</v>
      </c>
      <c r="V45" s="108">
        <f>IFERROR(IF(ISBLANK(Current_DTE!V45),INDEX(Minutes_by_use_case!$B$2:$B$9,MATCH($B45,Minutes_by_use_case!$A$2:$A$9,0)),Current_DTE!V45),"-")</f>
        <v>2140.4341038095235</v>
      </c>
    </row>
    <row r="46" spans="1:22" x14ac:dyDescent="0.3">
      <c r="A46" s="32" t="s">
        <v>36</v>
      </c>
      <c r="B46" s="33" t="s">
        <v>40</v>
      </c>
      <c r="C46" s="108">
        <f>IFERROR(IF(ISBLANK(Current_DTE!C46),INDEX(Minutes_by_use_case!$B$2:$B$9,MATCH($B46,Minutes_by_use_case!$A$2:$A$9,0)),Current_DTE!C46),"-")</f>
        <v>2140.4341038095235</v>
      </c>
      <c r="D46" s="108">
        <f>IFERROR(IF(ISBLANK(Current_DTE!D46),INDEX(Minutes_by_use_case!$B$2:$B$9,MATCH($B46,Minutes_by_use_case!$A$2:$A$9,0)),Current_DTE!D46),"-")</f>
        <v>2140.4341038095235</v>
      </c>
      <c r="E46" s="108">
        <f>IFERROR(IF(ISBLANK(Current_DTE!E46),INDEX(Minutes_by_use_case!$B$2:$B$9,MATCH($B46,Minutes_by_use_case!$A$2:$A$9,0)),Current_DTE!E46),"-")</f>
        <v>2140.4341038095235</v>
      </c>
      <c r="F46" s="108">
        <f>IFERROR(IF(ISBLANK(Current_DTE!F46),INDEX(Minutes_by_use_case!$B$2:$B$9,MATCH($B46,Minutes_by_use_case!$A$2:$A$9,0)),Current_DTE!F46),"-")</f>
        <v>2140.4341038095235</v>
      </c>
      <c r="G46" s="108">
        <f>IFERROR(IF(ISBLANK(Current_DTE!G46),INDEX(Minutes_by_use_case!$B$2:$B$9,MATCH($B46,Minutes_by_use_case!$A$2:$A$9,0)),Current_DTE!G46),"-")</f>
        <v>2140.4341038095235</v>
      </c>
      <c r="H46" s="108">
        <f>IFERROR(IF(ISBLANK(Current_DTE!H46),INDEX(Minutes_by_use_case!$B$2:$B$9,MATCH($B46,Minutes_by_use_case!$A$2:$A$9,0)),Current_DTE!H46),"-")</f>
        <v>2140.4341038095235</v>
      </c>
      <c r="I46" s="108">
        <f>IFERROR(IF(ISBLANK(Current_DTE!I46),INDEX(Minutes_by_use_case!$B$2:$B$9,MATCH($B46,Minutes_by_use_case!$A$2:$A$9,0)),Current_DTE!I46),"-")</f>
        <v>2140.4341038095235</v>
      </c>
      <c r="J46" s="108">
        <f>IFERROR(IF(ISBLANK(Current_DTE!J46),INDEX(Minutes_by_use_case!$B$2:$B$9,MATCH($B46,Minutes_by_use_case!$A$2:$A$9,0)),Current_DTE!J46),"-")</f>
        <v>2140.4341038095235</v>
      </c>
      <c r="K46" s="108">
        <f>IFERROR(IF(ISBLANK(Current_DTE!K46),INDEX(Minutes_by_use_case!$B$2:$B$9,MATCH($B46,Minutes_by_use_case!$A$2:$A$9,0)),Current_DTE!K46),"-")</f>
        <v>2140.4341038095235</v>
      </c>
      <c r="L46" s="108">
        <f>IFERROR(IF(ISBLANK(Current_DTE!L46),INDEX(Minutes_by_use_case!$B$2:$B$9,MATCH($B46,Minutes_by_use_case!$A$2:$A$9,0)),Current_DTE!L46),"-")</f>
        <v>2140.4341038095235</v>
      </c>
      <c r="M46" s="108">
        <f>IFERROR(IF(ISBLANK(Current_DTE!M46),INDEX(Minutes_by_use_case!$B$2:$B$9,MATCH($B46,Minutes_by_use_case!$A$2:$A$9,0)),Current_DTE!M46),"-")</f>
        <v>2140.4341038095235</v>
      </c>
      <c r="N46" s="108">
        <f>IFERROR(IF(ISBLANK(Current_DTE!N46),INDEX(Minutes_by_use_case!$B$2:$B$9,MATCH($B46,Minutes_by_use_case!$A$2:$A$9,0)),Current_DTE!N46),"-")</f>
        <v>2140.4341038095235</v>
      </c>
      <c r="O46" s="108">
        <f>IFERROR(IF(ISBLANK(Current_DTE!O46),INDEX(Minutes_by_use_case!$B$2:$B$9,MATCH($B46,Minutes_by_use_case!$A$2:$A$9,0)),Current_DTE!O46),"-")</f>
        <v>2140.4341038095235</v>
      </c>
      <c r="P46" s="108">
        <f>IFERROR(IF(ISBLANK(Current_DTE!P46),INDEX(Minutes_by_use_case!$B$2:$B$9,MATCH($B46,Minutes_by_use_case!$A$2:$A$9,0)),Current_DTE!P46),"-")</f>
        <v>2140.4341038095235</v>
      </c>
      <c r="Q46" s="108">
        <f>IFERROR(IF(ISBLANK(Current_DTE!Q46),INDEX(Minutes_by_use_case!$B$2:$B$9,MATCH($B46,Minutes_by_use_case!$A$2:$A$9,0)),Current_DTE!Q46),"-")</f>
        <v>2140.4341038095235</v>
      </c>
      <c r="R46" s="108">
        <f>IFERROR(IF(ISBLANK(Current_DTE!R46),INDEX(Minutes_by_use_case!$B$2:$B$9,MATCH($B46,Minutes_by_use_case!$A$2:$A$9,0)),Current_DTE!R46),"-")</f>
        <v>2140.4341038095235</v>
      </c>
      <c r="S46" s="108">
        <f>IFERROR(IF(ISBLANK(Current_DTE!S46),INDEX(Minutes_by_use_case!$B$2:$B$9,MATCH($B46,Minutes_by_use_case!$A$2:$A$9,0)),Current_DTE!S46),"-")</f>
        <v>2140.4341038095235</v>
      </c>
      <c r="T46" s="108">
        <f>IFERROR(IF(ISBLANK(Current_DTE!T46),INDEX(Minutes_by_use_case!$B$2:$B$9,MATCH($B46,Minutes_by_use_case!$A$2:$A$9,0)),Current_DTE!T46),"-")</f>
        <v>2140.4341038095235</v>
      </c>
      <c r="U46" s="108">
        <f>IFERROR(IF(ISBLANK(Current_DTE!U46),INDEX(Minutes_by_use_case!$B$2:$B$9,MATCH($B46,Minutes_by_use_case!$A$2:$A$9,0)),Current_DTE!U46),"-")</f>
        <v>2140.4341038095235</v>
      </c>
      <c r="V46" s="108">
        <f>IFERROR(IF(ISBLANK(Current_DTE!V46),INDEX(Minutes_by_use_case!$B$2:$B$9,MATCH($B46,Minutes_by_use_case!$A$2:$A$9,0)),Current_DTE!V46),"-")</f>
        <v>2140.4341038095235</v>
      </c>
    </row>
    <row r="47" spans="1:22" x14ac:dyDescent="0.3">
      <c r="A47" s="32" t="s">
        <v>37</v>
      </c>
      <c r="B47" s="33" t="s">
        <v>40</v>
      </c>
      <c r="C47" s="108">
        <f>IFERROR(IF(ISBLANK(Current_DTE!C47),INDEX(Minutes_by_use_case!$B$2:$B$9,MATCH($B47,Minutes_by_use_case!$A$2:$A$9,0)),Current_DTE!C47),"-")</f>
        <v>2140.4341038095235</v>
      </c>
      <c r="D47" s="108">
        <f>IFERROR(IF(ISBLANK(Current_DTE!D47),INDEX(Minutes_by_use_case!$B$2:$B$9,MATCH($B47,Minutes_by_use_case!$A$2:$A$9,0)),Current_DTE!D47),"-")</f>
        <v>2140.4341038095235</v>
      </c>
      <c r="E47" s="108">
        <f>IFERROR(IF(ISBLANK(Current_DTE!E47),INDEX(Minutes_by_use_case!$B$2:$B$9,MATCH($B47,Minutes_by_use_case!$A$2:$A$9,0)),Current_DTE!E47),"-")</f>
        <v>2140.4341038095235</v>
      </c>
      <c r="F47" s="108">
        <f>IFERROR(IF(ISBLANK(Current_DTE!F47),INDEX(Minutes_by_use_case!$B$2:$B$9,MATCH($B47,Minutes_by_use_case!$A$2:$A$9,0)),Current_DTE!F47),"-")</f>
        <v>2140.4341038095235</v>
      </c>
      <c r="G47" s="108">
        <f>IFERROR(IF(ISBLANK(Current_DTE!G47),INDEX(Minutes_by_use_case!$B$2:$B$9,MATCH($B47,Minutes_by_use_case!$A$2:$A$9,0)),Current_DTE!G47),"-")</f>
        <v>2140.4341038095235</v>
      </c>
      <c r="H47" s="108">
        <f>IFERROR(IF(ISBLANK(Current_DTE!H47),INDEX(Minutes_by_use_case!$B$2:$B$9,MATCH($B47,Minutes_by_use_case!$A$2:$A$9,0)),Current_DTE!H47),"-")</f>
        <v>2140.4341038095235</v>
      </c>
      <c r="I47" s="108">
        <f>IFERROR(IF(ISBLANK(Current_DTE!I47),INDEX(Minutes_by_use_case!$B$2:$B$9,MATCH($B47,Minutes_by_use_case!$A$2:$A$9,0)),Current_DTE!I47),"-")</f>
        <v>2140.4341038095235</v>
      </c>
      <c r="J47" s="108">
        <f>IFERROR(IF(ISBLANK(Current_DTE!J47),INDEX(Minutes_by_use_case!$B$2:$B$9,MATCH($B47,Minutes_by_use_case!$A$2:$A$9,0)),Current_DTE!J47),"-")</f>
        <v>2140.4341038095235</v>
      </c>
      <c r="K47" s="108">
        <f>IFERROR(IF(ISBLANK(Current_DTE!K47),INDEX(Minutes_by_use_case!$B$2:$B$9,MATCH($B47,Minutes_by_use_case!$A$2:$A$9,0)),Current_DTE!K47),"-")</f>
        <v>2140.4341038095235</v>
      </c>
      <c r="L47" s="108">
        <f>IFERROR(IF(ISBLANK(Current_DTE!L47),INDEX(Minutes_by_use_case!$B$2:$B$9,MATCH($B47,Minutes_by_use_case!$A$2:$A$9,0)),Current_DTE!L47),"-")</f>
        <v>2140.4341038095235</v>
      </c>
      <c r="M47" s="108">
        <f>IFERROR(IF(ISBLANK(Current_DTE!M47),INDEX(Minutes_by_use_case!$B$2:$B$9,MATCH($B47,Minutes_by_use_case!$A$2:$A$9,0)),Current_DTE!M47),"-")</f>
        <v>2140.4341038095235</v>
      </c>
      <c r="N47" s="108">
        <f>IFERROR(IF(ISBLANK(Current_DTE!N47),INDEX(Minutes_by_use_case!$B$2:$B$9,MATCH($B47,Minutes_by_use_case!$A$2:$A$9,0)),Current_DTE!N47),"-")</f>
        <v>2140.4341038095235</v>
      </c>
      <c r="O47" s="108">
        <f>IFERROR(IF(ISBLANK(Current_DTE!O47),INDEX(Minutes_by_use_case!$B$2:$B$9,MATCH($B47,Minutes_by_use_case!$A$2:$A$9,0)),Current_DTE!O47),"-")</f>
        <v>2140.4341038095235</v>
      </c>
      <c r="P47" s="108">
        <f>IFERROR(IF(ISBLANK(Current_DTE!P47),INDEX(Minutes_by_use_case!$B$2:$B$9,MATCH($B47,Minutes_by_use_case!$A$2:$A$9,0)),Current_DTE!P47),"-")</f>
        <v>2140.4341038095235</v>
      </c>
      <c r="Q47" s="108">
        <f>IFERROR(IF(ISBLANK(Current_DTE!Q47),INDEX(Minutes_by_use_case!$B$2:$B$9,MATCH($B47,Minutes_by_use_case!$A$2:$A$9,0)),Current_DTE!Q47),"-")</f>
        <v>2140.4341038095235</v>
      </c>
      <c r="R47" s="108">
        <f>IFERROR(IF(ISBLANK(Current_DTE!R47),INDEX(Minutes_by_use_case!$B$2:$B$9,MATCH($B47,Minutes_by_use_case!$A$2:$A$9,0)),Current_DTE!R47),"-")</f>
        <v>2140.4341038095235</v>
      </c>
      <c r="S47" s="108">
        <f>IFERROR(IF(ISBLANK(Current_DTE!S47),INDEX(Minutes_by_use_case!$B$2:$B$9,MATCH($B47,Minutes_by_use_case!$A$2:$A$9,0)),Current_DTE!S47),"-")</f>
        <v>2140.4341038095235</v>
      </c>
      <c r="T47" s="108">
        <f>IFERROR(IF(ISBLANK(Current_DTE!T47),INDEX(Minutes_by_use_case!$B$2:$B$9,MATCH($B47,Minutes_by_use_case!$A$2:$A$9,0)),Current_DTE!T47),"-")</f>
        <v>2140.4341038095235</v>
      </c>
      <c r="U47" s="108">
        <f>IFERROR(IF(ISBLANK(Current_DTE!U47),INDEX(Minutes_by_use_case!$B$2:$B$9,MATCH($B47,Minutes_by_use_case!$A$2:$A$9,0)),Current_DTE!U47),"-")</f>
        <v>2140.4341038095235</v>
      </c>
      <c r="V47" s="108">
        <f>IFERROR(IF(ISBLANK(Current_DTE!V47),INDEX(Minutes_by_use_case!$B$2:$B$9,MATCH($B47,Minutes_by_use_case!$A$2:$A$9,0)),Current_DTE!V47),"-")</f>
        <v>2140.4341038095235</v>
      </c>
    </row>
    <row r="48" spans="1:22" x14ac:dyDescent="0.3">
      <c r="A48" s="32" t="s">
        <v>38</v>
      </c>
      <c r="B48" s="33" t="s">
        <v>41</v>
      </c>
      <c r="C48" s="108">
        <f>IFERROR(IF(ISBLANK(Current_DTE!C48),INDEX(Minutes_by_use_case!$B$2:$B$9,MATCH($B48,Minutes_by_use_case!$A$2:$A$9,0)),Current_DTE!C48),"-")</f>
        <v>133409.35004928565</v>
      </c>
      <c r="D48" s="108">
        <f>IFERROR(IF(ISBLANK(Current_DTE!D48),INDEX(Minutes_by_use_case!$B$2:$B$9,MATCH($B48,Minutes_by_use_case!$A$2:$A$9,0)),Current_DTE!D48),"-")</f>
        <v>133409.35004928565</v>
      </c>
      <c r="E48" s="108">
        <f>IFERROR(IF(ISBLANK(Current_DTE!E48),INDEX(Minutes_by_use_case!$B$2:$B$9,MATCH($B48,Minutes_by_use_case!$A$2:$A$9,0)),Current_DTE!E48),"-")</f>
        <v>133409.35004928565</v>
      </c>
      <c r="F48" s="108">
        <f>IFERROR(IF(ISBLANK(Current_DTE!F48),INDEX(Minutes_by_use_case!$B$2:$B$9,MATCH($B48,Minutes_by_use_case!$A$2:$A$9,0)),Current_DTE!F48),"-")</f>
        <v>133409.35004928565</v>
      </c>
      <c r="G48" s="108">
        <f>IFERROR(IF(ISBLANK(Current_DTE!G48),INDEX(Minutes_by_use_case!$B$2:$B$9,MATCH($B48,Minutes_by_use_case!$A$2:$A$9,0)),Current_DTE!G48),"-")</f>
        <v>133409.35004928565</v>
      </c>
      <c r="H48" s="108">
        <f>IFERROR(IF(ISBLANK(Current_DTE!H48),INDEX(Minutes_by_use_case!$B$2:$B$9,MATCH($B48,Minutes_by_use_case!$A$2:$A$9,0)),Current_DTE!H48),"-")</f>
        <v>133409.35004928565</v>
      </c>
      <c r="I48" s="108">
        <f>IFERROR(IF(ISBLANK(Current_DTE!I48),INDEX(Minutes_by_use_case!$B$2:$B$9,MATCH($B48,Minutes_by_use_case!$A$2:$A$9,0)),Current_DTE!I48),"-")</f>
        <v>133409.35004928565</v>
      </c>
      <c r="J48" s="108">
        <f>IFERROR(IF(ISBLANK(Current_DTE!J48),INDEX(Minutes_by_use_case!$B$2:$B$9,MATCH($B48,Minutes_by_use_case!$A$2:$A$9,0)),Current_DTE!J48),"-")</f>
        <v>133409.35004928565</v>
      </c>
      <c r="K48" s="108">
        <f>IFERROR(IF(ISBLANK(Current_DTE!K48),INDEX(Minutes_by_use_case!$B$2:$B$9,MATCH($B48,Minutes_by_use_case!$A$2:$A$9,0)),Current_DTE!K48),"-")</f>
        <v>133409.35004928565</v>
      </c>
      <c r="L48" s="108">
        <f>IFERROR(IF(ISBLANK(Current_DTE!L48),INDEX(Minutes_by_use_case!$B$2:$B$9,MATCH($B48,Minutes_by_use_case!$A$2:$A$9,0)),Current_DTE!L48),"-")</f>
        <v>133409.35004928565</v>
      </c>
      <c r="M48" s="108">
        <f>IFERROR(IF(ISBLANK(Current_DTE!M48),INDEX(Minutes_by_use_case!$B$2:$B$9,MATCH($B48,Minutes_by_use_case!$A$2:$A$9,0)),Current_DTE!M48),"-")</f>
        <v>133409.35004928565</v>
      </c>
      <c r="N48" s="108">
        <f>IFERROR(IF(ISBLANK(Current_DTE!N48),INDEX(Minutes_by_use_case!$B$2:$B$9,MATCH($B48,Minutes_by_use_case!$A$2:$A$9,0)),Current_DTE!N48),"-")</f>
        <v>133409.35004928565</v>
      </c>
      <c r="O48" s="108">
        <f>IFERROR(IF(ISBLANK(Current_DTE!O48),INDEX(Minutes_by_use_case!$B$2:$B$9,MATCH($B48,Minutes_by_use_case!$A$2:$A$9,0)),Current_DTE!O48),"-")</f>
        <v>133409.35004928565</v>
      </c>
      <c r="P48" s="108">
        <f>IFERROR(IF(ISBLANK(Current_DTE!P48),INDEX(Minutes_by_use_case!$B$2:$B$9,MATCH($B48,Minutes_by_use_case!$A$2:$A$9,0)),Current_DTE!P48),"-")</f>
        <v>133409.35004928565</v>
      </c>
      <c r="Q48" s="108">
        <f>IFERROR(IF(ISBLANK(Current_DTE!Q48),INDEX(Minutes_by_use_case!$B$2:$B$9,MATCH($B48,Minutes_by_use_case!$A$2:$A$9,0)),Current_DTE!Q48),"-")</f>
        <v>133409.35004928565</v>
      </c>
      <c r="R48" s="108">
        <f>IFERROR(IF(ISBLANK(Current_DTE!R48),INDEX(Minutes_by_use_case!$B$2:$B$9,MATCH($B48,Minutes_by_use_case!$A$2:$A$9,0)),Current_DTE!R48),"-")</f>
        <v>133409.35004928565</v>
      </c>
      <c r="S48" s="108">
        <f>IFERROR(IF(ISBLANK(Current_DTE!S48),INDEX(Minutes_by_use_case!$B$2:$B$9,MATCH($B48,Minutes_by_use_case!$A$2:$A$9,0)),Current_DTE!S48),"-")</f>
        <v>133409.35004928565</v>
      </c>
      <c r="T48" s="108">
        <f>IFERROR(IF(ISBLANK(Current_DTE!T48),INDEX(Minutes_by_use_case!$B$2:$B$9,MATCH($B48,Minutes_by_use_case!$A$2:$A$9,0)),Current_DTE!T48),"-")</f>
        <v>133409.35004928565</v>
      </c>
      <c r="U48" s="108">
        <f>IFERROR(IF(ISBLANK(Current_DTE!U48),INDEX(Minutes_by_use_case!$B$2:$B$9,MATCH($B48,Minutes_by_use_case!$A$2:$A$9,0)),Current_DTE!U48),"-")</f>
        <v>133409.35004928565</v>
      </c>
      <c r="V48" s="108">
        <f>IFERROR(IF(ISBLANK(Current_DTE!V48),INDEX(Minutes_by_use_case!$B$2:$B$9,MATCH($B48,Minutes_by_use_case!$A$2:$A$9,0)),Current_DTE!V48),"-")</f>
        <v>133409.35004928565</v>
      </c>
    </row>
    <row r="49" spans="1:22" x14ac:dyDescent="0.3">
      <c r="A49" s="32" t="str">
        <f>lifespans_all!A49</f>
        <v>New</v>
      </c>
      <c r="B49" s="32" t="str">
        <f>lifespans_all!B49</f>
        <v>Human Space Flight</v>
      </c>
      <c r="C49" s="108">
        <f>IFERROR(IF(ISBLANK(Current_DTE!C49),INDEX(Minutes_by_use_case!$B$2:$B$9,MATCH($B49,Minutes_by_use_case!$A$2:$A$9,0)),Current_DTE!C49),"-")</f>
        <v>171572.29579277776</v>
      </c>
      <c r="D49" s="108">
        <f>IFERROR(IF(ISBLANK(Current_DTE!D49),INDEX(Minutes_by_use_case!$B$2:$B$9,MATCH($B49,Minutes_by_use_case!$A$2:$A$9,0)),Current_DTE!D49),"-")</f>
        <v>171572.29579277776</v>
      </c>
      <c r="E49" s="108">
        <f>IFERROR(IF(ISBLANK(Current_DTE!E49),INDEX(Minutes_by_use_case!$B$2:$B$9,MATCH($B49,Minutes_by_use_case!$A$2:$A$9,0)),Current_DTE!E49),"-")</f>
        <v>171572.29579277776</v>
      </c>
      <c r="F49" s="108">
        <f>IFERROR(IF(ISBLANK(Current_DTE!F49),INDEX(Minutes_by_use_case!$B$2:$B$9,MATCH($B49,Minutes_by_use_case!$A$2:$A$9,0)),Current_DTE!F49),"-")</f>
        <v>171572.29579277776</v>
      </c>
      <c r="G49" s="108">
        <f>IFERROR(IF(ISBLANK(Current_DTE!G49),INDEX(Minutes_by_use_case!$B$2:$B$9,MATCH($B49,Minutes_by_use_case!$A$2:$A$9,0)),Current_DTE!G49),"-")</f>
        <v>171572.29579277776</v>
      </c>
      <c r="H49" s="108">
        <f>IFERROR(IF(ISBLANK(Current_DTE!H49),INDEX(Minutes_by_use_case!$B$2:$B$9,MATCH($B49,Minutes_by_use_case!$A$2:$A$9,0)),Current_DTE!H49),"-")</f>
        <v>171572.29579277776</v>
      </c>
      <c r="I49" s="108">
        <f>IFERROR(IF(ISBLANK(Current_DTE!I49),INDEX(Minutes_by_use_case!$B$2:$B$9,MATCH($B49,Minutes_by_use_case!$A$2:$A$9,0)),Current_DTE!I49),"-")</f>
        <v>171572.29579277776</v>
      </c>
      <c r="J49" s="108">
        <f>IFERROR(IF(ISBLANK(Current_DTE!J49),INDEX(Minutes_by_use_case!$B$2:$B$9,MATCH($B49,Minutes_by_use_case!$A$2:$A$9,0)),Current_DTE!J49),"-")</f>
        <v>171572.29579277776</v>
      </c>
      <c r="K49" s="108">
        <f>IFERROR(IF(ISBLANK(Current_DTE!K49),INDEX(Minutes_by_use_case!$B$2:$B$9,MATCH($B49,Minutes_by_use_case!$A$2:$A$9,0)),Current_DTE!K49),"-")</f>
        <v>171572.29579277776</v>
      </c>
      <c r="L49" s="108">
        <f>IFERROR(IF(ISBLANK(Current_DTE!L49),INDEX(Minutes_by_use_case!$B$2:$B$9,MATCH($B49,Minutes_by_use_case!$A$2:$A$9,0)),Current_DTE!L49),"-")</f>
        <v>171572.29579277776</v>
      </c>
      <c r="M49" s="108">
        <f>IFERROR(IF(ISBLANK(Current_DTE!M49),INDEX(Minutes_by_use_case!$B$2:$B$9,MATCH($B49,Minutes_by_use_case!$A$2:$A$9,0)),Current_DTE!M49),"-")</f>
        <v>171572.29579277776</v>
      </c>
      <c r="N49" s="108">
        <f>IFERROR(IF(ISBLANK(Current_DTE!N49),INDEX(Minutes_by_use_case!$B$2:$B$9,MATCH($B49,Minutes_by_use_case!$A$2:$A$9,0)),Current_DTE!N49),"-")</f>
        <v>171572.29579277776</v>
      </c>
      <c r="O49" s="108">
        <f>IFERROR(IF(ISBLANK(Current_DTE!O49),INDEX(Minutes_by_use_case!$B$2:$B$9,MATCH($B49,Minutes_by_use_case!$A$2:$A$9,0)),Current_DTE!O49),"-")</f>
        <v>171572.29579277776</v>
      </c>
      <c r="P49" s="108">
        <f>IFERROR(IF(ISBLANK(Current_DTE!P49),INDEX(Minutes_by_use_case!$B$2:$B$9,MATCH($B49,Minutes_by_use_case!$A$2:$A$9,0)),Current_DTE!P49),"-")</f>
        <v>171572.29579277776</v>
      </c>
      <c r="Q49" s="108">
        <f>IFERROR(IF(ISBLANK(Current_DTE!Q49),INDEX(Minutes_by_use_case!$B$2:$B$9,MATCH($B49,Minutes_by_use_case!$A$2:$A$9,0)),Current_DTE!Q49),"-")</f>
        <v>171572.29579277776</v>
      </c>
      <c r="R49" s="108">
        <f>IFERROR(IF(ISBLANK(Current_DTE!R49),INDEX(Minutes_by_use_case!$B$2:$B$9,MATCH($B49,Minutes_by_use_case!$A$2:$A$9,0)),Current_DTE!R49),"-")</f>
        <v>171572.29579277776</v>
      </c>
      <c r="S49" s="108">
        <f>IFERROR(IF(ISBLANK(Current_DTE!S49),INDEX(Minutes_by_use_case!$B$2:$B$9,MATCH($B49,Minutes_by_use_case!$A$2:$A$9,0)),Current_DTE!S49),"-")</f>
        <v>171572.29579277776</v>
      </c>
      <c r="T49" s="108">
        <f>IFERROR(IF(ISBLANK(Current_DTE!T49),INDEX(Minutes_by_use_case!$B$2:$B$9,MATCH($B49,Minutes_by_use_case!$A$2:$A$9,0)),Current_DTE!T49),"-")</f>
        <v>171572.29579277776</v>
      </c>
      <c r="U49" s="108">
        <f>IFERROR(IF(ISBLANK(Current_DTE!U49),INDEX(Minutes_by_use_case!$B$2:$B$9,MATCH($B49,Minutes_by_use_case!$A$2:$A$9,0)),Current_DTE!U49),"-")</f>
        <v>171572.29579277776</v>
      </c>
      <c r="V49" s="108">
        <f>IFERROR(IF(ISBLANK(Current_DTE!V49),INDEX(Minutes_by_use_case!$B$2:$B$9,MATCH($B49,Minutes_by_use_case!$A$2:$A$9,0)),Current_DTE!V49),"-")</f>
        <v>171572.29579277776</v>
      </c>
    </row>
    <row r="50" spans="1:22" x14ac:dyDescent="0.3">
      <c r="A50" s="32" t="str">
        <f>lifespans_all!A50</f>
        <v>New</v>
      </c>
      <c r="B50" s="32" t="str">
        <f>lifespans_all!B50</f>
        <v>Near Earth Robotic - LEO Science</v>
      </c>
      <c r="C50" s="108">
        <f>IFERROR(IF(ISBLANK(Current_DTE!C50),INDEX(Minutes_by_use_case!$B$2:$B$9,MATCH($B50,Minutes_by_use_case!$A$2:$A$9,0)),Current_DTE!C50),"-")</f>
        <v>26456.977183333336</v>
      </c>
      <c r="D50" s="108">
        <f>IFERROR(IF(ISBLANK(Current_DTE!D50),INDEX(Minutes_by_use_case!$B$2:$B$9,MATCH($B50,Minutes_by_use_case!$A$2:$A$9,0)),Current_DTE!D50),"-")</f>
        <v>25130.862380555554</v>
      </c>
      <c r="E50" s="108">
        <f>IFERROR(IF(ISBLANK(Current_DTE!E50),INDEX(Minutes_by_use_case!$B$2:$B$9,MATCH($B50,Minutes_by_use_case!$A$2:$A$9,0)),Current_DTE!E50),"-")</f>
        <v>21768.07003333333</v>
      </c>
      <c r="F50" s="108">
        <f>IFERROR(IF(ISBLANK(Current_DTE!F50),INDEX(Minutes_by_use_case!$B$2:$B$9,MATCH($B50,Minutes_by_use_case!$A$2:$A$9,0)),Current_DTE!F50),"-")</f>
        <v>26641.100873333336</v>
      </c>
      <c r="G50" s="108">
        <f>IFERROR(IF(ISBLANK(Current_DTE!G50),INDEX(Minutes_by_use_case!$B$2:$B$9,MATCH($B50,Minutes_by_use_case!$A$2:$A$9,0)),Current_DTE!G50),"-")</f>
        <v>26641.100873333336</v>
      </c>
      <c r="H50" s="108">
        <f>IFERROR(IF(ISBLANK(Current_DTE!H50),INDEX(Minutes_by_use_case!$B$2:$B$9,MATCH($B50,Minutes_by_use_case!$A$2:$A$9,0)),Current_DTE!H50),"-")</f>
        <v>26641.100873333336</v>
      </c>
      <c r="I50" s="108">
        <f>IFERROR(IF(ISBLANK(Current_DTE!I50),INDEX(Minutes_by_use_case!$B$2:$B$9,MATCH($B50,Minutes_by_use_case!$A$2:$A$9,0)),Current_DTE!I50),"-")</f>
        <v>26641.100873333336</v>
      </c>
      <c r="J50" s="108">
        <f>IFERROR(IF(ISBLANK(Current_DTE!J50),INDEX(Minutes_by_use_case!$B$2:$B$9,MATCH($B50,Minutes_by_use_case!$A$2:$A$9,0)),Current_DTE!J50),"-")</f>
        <v>26641.100873333336</v>
      </c>
      <c r="K50" s="108">
        <f>IFERROR(IF(ISBLANK(Current_DTE!K50),INDEX(Minutes_by_use_case!$B$2:$B$9,MATCH($B50,Minutes_by_use_case!$A$2:$A$9,0)),Current_DTE!K50),"-")</f>
        <v>26641.100873333336</v>
      </c>
      <c r="L50" s="108">
        <f>IFERROR(IF(ISBLANK(Current_DTE!L50),INDEX(Minutes_by_use_case!$B$2:$B$9,MATCH($B50,Minutes_by_use_case!$A$2:$A$9,0)),Current_DTE!L50),"-")</f>
        <v>26641.100873333336</v>
      </c>
      <c r="M50" s="108">
        <f>IFERROR(IF(ISBLANK(Current_DTE!M50),INDEX(Minutes_by_use_case!$B$2:$B$9,MATCH($B50,Minutes_by_use_case!$A$2:$A$9,0)),Current_DTE!M50),"-")</f>
        <v>26641.100873333336</v>
      </c>
      <c r="N50" s="108">
        <f>IFERROR(IF(ISBLANK(Current_DTE!N50),INDEX(Minutes_by_use_case!$B$2:$B$9,MATCH($B50,Minutes_by_use_case!$A$2:$A$9,0)),Current_DTE!N50),"-")</f>
        <v>26641.100873333336</v>
      </c>
      <c r="O50" s="108">
        <f>IFERROR(IF(ISBLANK(Current_DTE!O50),INDEX(Minutes_by_use_case!$B$2:$B$9,MATCH($B50,Minutes_by_use_case!$A$2:$A$9,0)),Current_DTE!O50),"-")</f>
        <v>26641.100873333336</v>
      </c>
      <c r="P50" s="108">
        <f>IFERROR(IF(ISBLANK(Current_DTE!P50),INDEX(Minutes_by_use_case!$B$2:$B$9,MATCH($B50,Minutes_by_use_case!$A$2:$A$9,0)),Current_DTE!P50),"-")</f>
        <v>26641.100873333336</v>
      </c>
      <c r="Q50" s="108">
        <f>IFERROR(IF(ISBLANK(Current_DTE!Q50),INDEX(Minutes_by_use_case!$B$2:$B$9,MATCH($B50,Minutes_by_use_case!$A$2:$A$9,0)),Current_DTE!Q50),"-")</f>
        <v>26641.100873333336</v>
      </c>
      <c r="R50" s="108">
        <f>IFERROR(IF(ISBLANK(Current_DTE!R50),INDEX(Minutes_by_use_case!$B$2:$B$9,MATCH($B50,Minutes_by_use_case!$A$2:$A$9,0)),Current_DTE!R50),"-")</f>
        <v>26641.100873333336</v>
      </c>
      <c r="S50" s="108">
        <f>IFERROR(IF(ISBLANK(Current_DTE!S50),INDEX(Minutes_by_use_case!$B$2:$B$9,MATCH($B50,Minutes_by_use_case!$A$2:$A$9,0)),Current_DTE!S50),"-")</f>
        <v>26641.100873333336</v>
      </c>
      <c r="T50" s="108">
        <f>IFERROR(IF(ISBLANK(Current_DTE!T50),INDEX(Minutes_by_use_case!$B$2:$B$9,MATCH($B50,Minutes_by_use_case!$A$2:$A$9,0)),Current_DTE!T50),"-")</f>
        <v>26641.100873333336</v>
      </c>
      <c r="U50" s="108">
        <f>IFERROR(IF(ISBLANK(Current_DTE!U50),INDEX(Minutes_by_use_case!$B$2:$B$9,MATCH($B50,Minutes_by_use_case!$A$2:$A$9,0)),Current_DTE!U50),"-")</f>
        <v>26641.100873333336</v>
      </c>
      <c r="V50" s="108">
        <f>IFERROR(IF(ISBLANK(Current_DTE!V50),INDEX(Minutes_by_use_case!$B$2:$B$9,MATCH($B50,Minutes_by_use_case!$A$2:$A$9,0)),Current_DTE!V50),"-")</f>
        <v>26641.100873333336</v>
      </c>
    </row>
    <row r="51" spans="1:22" x14ac:dyDescent="0.3">
      <c r="A51" s="32" t="str">
        <f>lifespans_all!A51</f>
        <v>New</v>
      </c>
      <c r="B51" s="32" t="str">
        <f>lifespans_all!B51</f>
        <v>Near Earth Robotic - GEO and Near Earth</v>
      </c>
      <c r="C51" s="108">
        <f>IFERROR(IF(ISBLANK(Current_DTE!C51),INDEX(Minutes_by_use_case!$B$2:$B$9,MATCH($B51,Minutes_by_use_case!$A$2:$A$9,0)),Current_DTE!C51),"-")</f>
        <v>2140.4341038095235</v>
      </c>
      <c r="D51" s="108">
        <f>IFERROR(IF(ISBLANK(Current_DTE!D51),INDEX(Minutes_by_use_case!$B$2:$B$9,MATCH($B51,Minutes_by_use_case!$A$2:$A$9,0)),Current_DTE!D51),"-")</f>
        <v>2140.4341038095235</v>
      </c>
      <c r="E51" s="108">
        <f>IFERROR(IF(ISBLANK(Current_DTE!E51),INDEX(Minutes_by_use_case!$B$2:$B$9,MATCH($B51,Minutes_by_use_case!$A$2:$A$9,0)),Current_DTE!E51),"-")</f>
        <v>2140.4341038095235</v>
      </c>
      <c r="F51" s="108">
        <f>IFERROR(IF(ISBLANK(Current_DTE!F51),INDEX(Minutes_by_use_case!$B$2:$B$9,MATCH($B51,Minutes_by_use_case!$A$2:$A$9,0)),Current_DTE!F51),"-")</f>
        <v>2140.4341038095235</v>
      </c>
      <c r="G51" s="108">
        <f>IFERROR(IF(ISBLANK(Current_DTE!G51),INDEX(Minutes_by_use_case!$B$2:$B$9,MATCH($B51,Minutes_by_use_case!$A$2:$A$9,0)),Current_DTE!G51),"-")</f>
        <v>2140.4341038095235</v>
      </c>
      <c r="H51" s="108">
        <f>IFERROR(IF(ISBLANK(Current_DTE!H51),INDEX(Minutes_by_use_case!$B$2:$B$9,MATCH($B51,Minutes_by_use_case!$A$2:$A$9,0)),Current_DTE!H51),"-")</f>
        <v>2140.4341038095235</v>
      </c>
      <c r="I51" s="108">
        <f>IFERROR(IF(ISBLANK(Current_DTE!I51),INDEX(Minutes_by_use_case!$B$2:$B$9,MATCH($B51,Minutes_by_use_case!$A$2:$A$9,0)),Current_DTE!I51),"-")</f>
        <v>2140.4341038095235</v>
      </c>
      <c r="J51" s="108">
        <f>IFERROR(IF(ISBLANK(Current_DTE!J51),INDEX(Minutes_by_use_case!$B$2:$B$9,MATCH($B51,Minutes_by_use_case!$A$2:$A$9,0)),Current_DTE!J51),"-")</f>
        <v>2140.4341038095235</v>
      </c>
      <c r="K51" s="108">
        <f>IFERROR(IF(ISBLANK(Current_DTE!K51),INDEX(Minutes_by_use_case!$B$2:$B$9,MATCH($B51,Minutes_by_use_case!$A$2:$A$9,0)),Current_DTE!K51),"-")</f>
        <v>2140.4341038095235</v>
      </c>
      <c r="L51" s="108">
        <f>IFERROR(IF(ISBLANK(Current_DTE!L51),INDEX(Minutes_by_use_case!$B$2:$B$9,MATCH($B51,Minutes_by_use_case!$A$2:$A$9,0)),Current_DTE!L51),"-")</f>
        <v>2140.4341038095235</v>
      </c>
      <c r="M51" s="108">
        <f>IFERROR(IF(ISBLANK(Current_DTE!M51),INDEX(Minutes_by_use_case!$B$2:$B$9,MATCH($B51,Minutes_by_use_case!$A$2:$A$9,0)),Current_DTE!M51),"-")</f>
        <v>2140.4341038095235</v>
      </c>
      <c r="N51" s="108">
        <f>IFERROR(IF(ISBLANK(Current_DTE!N51),INDEX(Minutes_by_use_case!$B$2:$B$9,MATCH($B51,Minutes_by_use_case!$A$2:$A$9,0)),Current_DTE!N51),"-")</f>
        <v>2140.4341038095235</v>
      </c>
      <c r="O51" s="108">
        <f>IFERROR(IF(ISBLANK(Current_DTE!O51),INDEX(Minutes_by_use_case!$B$2:$B$9,MATCH($B51,Minutes_by_use_case!$A$2:$A$9,0)),Current_DTE!O51),"-")</f>
        <v>2140.4341038095235</v>
      </c>
      <c r="P51" s="108">
        <f>IFERROR(IF(ISBLANK(Current_DTE!P51),INDEX(Minutes_by_use_case!$B$2:$B$9,MATCH($B51,Minutes_by_use_case!$A$2:$A$9,0)),Current_DTE!P51),"-")</f>
        <v>2140.4341038095235</v>
      </c>
      <c r="Q51" s="108">
        <f>IFERROR(IF(ISBLANK(Current_DTE!Q51),INDEX(Minutes_by_use_case!$B$2:$B$9,MATCH($B51,Minutes_by_use_case!$A$2:$A$9,0)),Current_DTE!Q51),"-")</f>
        <v>2140.4341038095235</v>
      </c>
      <c r="R51" s="108">
        <f>IFERROR(IF(ISBLANK(Current_DTE!R51),INDEX(Minutes_by_use_case!$B$2:$B$9,MATCH($B51,Minutes_by_use_case!$A$2:$A$9,0)),Current_DTE!R51),"-")</f>
        <v>2140.4341038095235</v>
      </c>
      <c r="S51" s="108">
        <f>IFERROR(IF(ISBLANK(Current_DTE!S51),INDEX(Minutes_by_use_case!$B$2:$B$9,MATCH($B51,Minutes_by_use_case!$A$2:$A$9,0)),Current_DTE!S51),"-")</f>
        <v>2140.4341038095235</v>
      </c>
      <c r="T51" s="108">
        <f>IFERROR(IF(ISBLANK(Current_DTE!T51),INDEX(Minutes_by_use_case!$B$2:$B$9,MATCH($B51,Minutes_by_use_case!$A$2:$A$9,0)),Current_DTE!T51),"-")</f>
        <v>2140.4341038095235</v>
      </c>
      <c r="U51" s="108">
        <f>IFERROR(IF(ISBLANK(Current_DTE!U51),INDEX(Minutes_by_use_case!$B$2:$B$9,MATCH($B51,Minutes_by_use_case!$A$2:$A$9,0)),Current_DTE!U51),"-")</f>
        <v>2140.4341038095235</v>
      </c>
      <c r="V51" s="108">
        <f>IFERROR(IF(ISBLANK(Current_DTE!V51),INDEX(Minutes_by_use_case!$B$2:$B$9,MATCH($B51,Minutes_by_use_case!$A$2:$A$9,0)),Current_DTE!V51),"-")</f>
        <v>2140.4341038095235</v>
      </c>
    </row>
    <row r="52" spans="1:22" x14ac:dyDescent="0.3">
      <c r="A52" s="32" t="str">
        <f>lifespans_all!A52</f>
        <v>New</v>
      </c>
      <c r="B52" s="32" t="str">
        <f>lifespans_all!B52</f>
        <v>Deep Space Robotic</v>
      </c>
      <c r="C52" s="108" t="str">
        <f>IFERROR(IF(ISBLANK(Current_DTE!C52),INDEX(Minutes_by_use_case!$B$2:$B$9,MATCH($B52,Minutes_by_use_case!$A$2:$A$9,0)),Current_DTE!C52),"-")</f>
        <v>-</v>
      </c>
      <c r="D52" s="108" t="str">
        <f>IFERROR(IF(ISBLANK(Current_DTE!D52),INDEX(Minutes_by_use_case!$B$2:$B$9,MATCH($B52,Minutes_by_use_case!$A$2:$A$9,0)),Current_DTE!D52),"-")</f>
        <v>-</v>
      </c>
      <c r="E52" s="108" t="str">
        <f>IFERROR(IF(ISBLANK(Current_DTE!E52),INDEX(Minutes_by_use_case!$B$2:$B$9,MATCH($B52,Minutes_by_use_case!$A$2:$A$9,0)),Current_DTE!E52),"-")</f>
        <v>-</v>
      </c>
      <c r="F52" s="108" t="str">
        <f>IFERROR(IF(ISBLANK(Current_DTE!F52),INDEX(Minutes_by_use_case!$B$2:$B$9,MATCH($B52,Minutes_by_use_case!$A$2:$A$9,0)),Current_DTE!F52),"-")</f>
        <v>-</v>
      </c>
      <c r="G52" s="108" t="str">
        <f>IFERROR(IF(ISBLANK(Current_DTE!G52),INDEX(Minutes_by_use_case!$B$2:$B$9,MATCH($B52,Minutes_by_use_case!$A$2:$A$9,0)),Current_DTE!G52),"-")</f>
        <v>-</v>
      </c>
      <c r="H52" s="108" t="str">
        <f>IFERROR(IF(ISBLANK(Current_DTE!H52),INDEX(Minutes_by_use_case!$B$2:$B$9,MATCH($B52,Minutes_by_use_case!$A$2:$A$9,0)),Current_DTE!H52),"-")</f>
        <v>-</v>
      </c>
      <c r="I52" s="108" t="str">
        <f>IFERROR(IF(ISBLANK(Current_DTE!I52),INDEX(Minutes_by_use_case!$B$2:$B$9,MATCH($B52,Minutes_by_use_case!$A$2:$A$9,0)),Current_DTE!I52),"-")</f>
        <v>-</v>
      </c>
      <c r="J52" s="108" t="str">
        <f>IFERROR(IF(ISBLANK(Current_DTE!J52),INDEX(Minutes_by_use_case!$B$2:$B$9,MATCH($B52,Minutes_by_use_case!$A$2:$A$9,0)),Current_DTE!J52),"-")</f>
        <v>-</v>
      </c>
      <c r="K52" s="108" t="str">
        <f>IFERROR(IF(ISBLANK(Current_DTE!K52),INDEX(Minutes_by_use_case!$B$2:$B$9,MATCH($B52,Minutes_by_use_case!$A$2:$A$9,0)),Current_DTE!K52),"-")</f>
        <v>-</v>
      </c>
      <c r="L52" s="108" t="str">
        <f>IFERROR(IF(ISBLANK(Current_DTE!L52),INDEX(Minutes_by_use_case!$B$2:$B$9,MATCH($B52,Minutes_by_use_case!$A$2:$A$9,0)),Current_DTE!L52),"-")</f>
        <v>-</v>
      </c>
      <c r="M52" s="108" t="str">
        <f>IFERROR(IF(ISBLANK(Current_DTE!M52),INDEX(Minutes_by_use_case!$B$2:$B$9,MATCH($B52,Minutes_by_use_case!$A$2:$A$9,0)),Current_DTE!M52),"-")</f>
        <v>-</v>
      </c>
      <c r="N52" s="108" t="str">
        <f>IFERROR(IF(ISBLANK(Current_DTE!N52),INDEX(Minutes_by_use_case!$B$2:$B$9,MATCH($B52,Minutes_by_use_case!$A$2:$A$9,0)),Current_DTE!N52),"-")</f>
        <v>-</v>
      </c>
      <c r="O52" s="108" t="str">
        <f>IFERROR(IF(ISBLANK(Current_DTE!O52),INDEX(Minutes_by_use_case!$B$2:$B$9,MATCH($B52,Minutes_by_use_case!$A$2:$A$9,0)),Current_DTE!O52),"-")</f>
        <v>-</v>
      </c>
      <c r="P52" s="108" t="str">
        <f>IFERROR(IF(ISBLANK(Current_DTE!P52),INDEX(Minutes_by_use_case!$B$2:$B$9,MATCH($B52,Minutes_by_use_case!$A$2:$A$9,0)),Current_DTE!P52),"-")</f>
        <v>-</v>
      </c>
      <c r="Q52" s="108" t="str">
        <f>IFERROR(IF(ISBLANK(Current_DTE!Q52),INDEX(Minutes_by_use_case!$B$2:$B$9,MATCH($B52,Minutes_by_use_case!$A$2:$A$9,0)),Current_DTE!Q52),"-")</f>
        <v>-</v>
      </c>
      <c r="R52" s="108" t="str">
        <f>IFERROR(IF(ISBLANK(Current_DTE!R52),INDEX(Minutes_by_use_case!$B$2:$B$9,MATCH($B52,Minutes_by_use_case!$A$2:$A$9,0)),Current_DTE!R52),"-")</f>
        <v>-</v>
      </c>
      <c r="S52" s="108" t="str">
        <f>IFERROR(IF(ISBLANK(Current_DTE!S52),INDEX(Minutes_by_use_case!$B$2:$B$9,MATCH($B52,Minutes_by_use_case!$A$2:$A$9,0)),Current_DTE!S52),"-")</f>
        <v>-</v>
      </c>
      <c r="T52" s="108" t="str">
        <f>IFERROR(IF(ISBLANK(Current_DTE!T52),INDEX(Minutes_by_use_case!$B$2:$B$9,MATCH($B52,Minutes_by_use_case!$A$2:$A$9,0)),Current_DTE!T52),"-")</f>
        <v>-</v>
      </c>
      <c r="U52" s="108" t="str">
        <f>IFERROR(IF(ISBLANK(Current_DTE!U52),INDEX(Minutes_by_use_case!$B$2:$B$9,MATCH($B52,Minutes_by_use_case!$A$2:$A$9,0)),Current_DTE!U52),"-")</f>
        <v>-</v>
      </c>
      <c r="V52" s="108" t="str">
        <f>IFERROR(IF(ISBLANK(Current_DTE!V52),INDEX(Minutes_by_use_case!$B$2:$B$9,MATCH($B52,Minutes_by_use_case!$A$2:$A$9,0)),Current_DTE!V52),"-")</f>
        <v>-</v>
      </c>
    </row>
    <row r="53" spans="1:22" x14ac:dyDescent="0.3">
      <c r="A53" s="32" t="str">
        <f>lifespans_all!A53</f>
        <v>New</v>
      </c>
      <c r="B53" s="32" t="str">
        <f>lifespans_all!B53</f>
        <v>Near Earth Robotic - Low Latency &amp; Complex Needs</v>
      </c>
      <c r="C53" s="108">
        <f>IFERROR(IF(ISBLANK(Current_DTE!C53),INDEX(Minutes_by_use_case!$B$2:$B$9,MATCH($B53,Minutes_by_use_case!$A$2:$A$9,0)),Current_DTE!C53),"-")</f>
        <v>0</v>
      </c>
      <c r="D53" s="108">
        <f>IFERROR(IF(ISBLANK(Current_DTE!D53),INDEX(Minutes_by_use_case!$B$2:$B$9,MATCH($B53,Minutes_by_use_case!$A$2:$A$9,0)),Current_DTE!D53),"-")</f>
        <v>0</v>
      </c>
      <c r="E53" s="108">
        <f>IFERROR(IF(ISBLANK(Current_DTE!E53),INDEX(Minutes_by_use_case!$B$2:$B$9,MATCH($B53,Minutes_by_use_case!$A$2:$A$9,0)),Current_DTE!E53),"-")</f>
        <v>0</v>
      </c>
      <c r="F53" s="108">
        <f>IFERROR(IF(ISBLANK(Current_DTE!F53),INDEX(Minutes_by_use_case!$B$2:$B$9,MATCH($B53,Minutes_by_use_case!$A$2:$A$9,0)),Current_DTE!F53),"-")</f>
        <v>0</v>
      </c>
      <c r="G53" s="108">
        <f>IFERROR(IF(ISBLANK(Current_DTE!G53),INDEX(Minutes_by_use_case!$B$2:$B$9,MATCH($B53,Minutes_by_use_case!$A$2:$A$9,0)),Current_DTE!G53),"-")</f>
        <v>0</v>
      </c>
      <c r="H53" s="108">
        <f>IFERROR(IF(ISBLANK(Current_DTE!H53),INDEX(Minutes_by_use_case!$B$2:$B$9,MATCH($B53,Minutes_by_use_case!$A$2:$A$9,0)),Current_DTE!H53),"-")</f>
        <v>0</v>
      </c>
      <c r="I53" s="108">
        <f>IFERROR(IF(ISBLANK(Current_DTE!I53),INDEX(Minutes_by_use_case!$B$2:$B$9,MATCH($B53,Minutes_by_use_case!$A$2:$A$9,0)),Current_DTE!I53),"-")</f>
        <v>0</v>
      </c>
      <c r="J53" s="108">
        <f>IFERROR(IF(ISBLANK(Current_DTE!J53),INDEX(Minutes_by_use_case!$B$2:$B$9,MATCH($B53,Minutes_by_use_case!$A$2:$A$9,0)),Current_DTE!J53),"-")</f>
        <v>0</v>
      </c>
      <c r="K53" s="108">
        <f>IFERROR(IF(ISBLANK(Current_DTE!K53),INDEX(Minutes_by_use_case!$B$2:$B$9,MATCH($B53,Minutes_by_use_case!$A$2:$A$9,0)),Current_DTE!K53),"-")</f>
        <v>0</v>
      </c>
      <c r="L53" s="108">
        <f>IFERROR(IF(ISBLANK(Current_DTE!L53),INDEX(Minutes_by_use_case!$B$2:$B$9,MATCH($B53,Minutes_by_use_case!$A$2:$A$9,0)),Current_DTE!L53),"-")</f>
        <v>0</v>
      </c>
      <c r="M53" s="108">
        <f>IFERROR(IF(ISBLANK(Current_DTE!M53),INDEX(Minutes_by_use_case!$B$2:$B$9,MATCH($B53,Minutes_by_use_case!$A$2:$A$9,0)),Current_DTE!M53),"-")</f>
        <v>0</v>
      </c>
      <c r="N53" s="108">
        <f>IFERROR(IF(ISBLANK(Current_DTE!N53),INDEX(Minutes_by_use_case!$B$2:$B$9,MATCH($B53,Minutes_by_use_case!$A$2:$A$9,0)),Current_DTE!N53),"-")</f>
        <v>0</v>
      </c>
      <c r="O53" s="108">
        <f>IFERROR(IF(ISBLANK(Current_DTE!O53),INDEX(Minutes_by_use_case!$B$2:$B$9,MATCH($B53,Minutes_by_use_case!$A$2:$A$9,0)),Current_DTE!O53),"-")</f>
        <v>0</v>
      </c>
      <c r="P53" s="108">
        <f>IFERROR(IF(ISBLANK(Current_DTE!P53),INDEX(Minutes_by_use_case!$B$2:$B$9,MATCH($B53,Minutes_by_use_case!$A$2:$A$9,0)),Current_DTE!P53),"-")</f>
        <v>0</v>
      </c>
      <c r="Q53" s="108">
        <f>IFERROR(IF(ISBLANK(Current_DTE!Q53),INDEX(Minutes_by_use_case!$B$2:$B$9,MATCH($B53,Minutes_by_use_case!$A$2:$A$9,0)),Current_DTE!Q53),"-")</f>
        <v>0</v>
      </c>
      <c r="R53" s="108">
        <f>IFERROR(IF(ISBLANK(Current_DTE!R53),INDEX(Minutes_by_use_case!$B$2:$B$9,MATCH($B53,Minutes_by_use_case!$A$2:$A$9,0)),Current_DTE!R53),"-")</f>
        <v>0</v>
      </c>
      <c r="S53" s="108">
        <f>IFERROR(IF(ISBLANK(Current_DTE!S53),INDEX(Minutes_by_use_case!$B$2:$B$9,MATCH($B53,Minutes_by_use_case!$A$2:$A$9,0)),Current_DTE!S53),"-")</f>
        <v>0</v>
      </c>
      <c r="T53" s="108">
        <f>IFERROR(IF(ISBLANK(Current_DTE!T53),INDEX(Minutes_by_use_case!$B$2:$B$9,MATCH($B53,Minutes_by_use_case!$A$2:$A$9,0)),Current_DTE!T53),"-")</f>
        <v>0</v>
      </c>
      <c r="U53" s="108">
        <f>IFERROR(IF(ISBLANK(Current_DTE!U53),INDEX(Minutes_by_use_case!$B$2:$B$9,MATCH($B53,Minutes_by_use_case!$A$2:$A$9,0)),Current_DTE!U53),"-")</f>
        <v>0</v>
      </c>
      <c r="V53" s="108">
        <f>IFERROR(IF(ISBLANK(Current_DTE!V53),INDEX(Minutes_by_use_case!$B$2:$B$9,MATCH($B53,Minutes_by_use_case!$A$2:$A$9,0)),Current_DTE!V53),"-")</f>
        <v>0</v>
      </c>
    </row>
    <row r="54" spans="1:22" x14ac:dyDescent="0.3">
      <c r="A54" s="32" t="str">
        <f>lifespans_all!A54</f>
        <v>New</v>
      </c>
      <c r="B54" s="32" t="str">
        <f>lifespans_all!B54</f>
        <v>Mission Operations</v>
      </c>
      <c r="C54" s="108" t="str">
        <f>IFERROR(IF(ISBLANK(Current_DTE!#REF!),INDEX(Minutes_by_use_case!$B$2:$B$9,MATCH($B54,Minutes_by_use_case!$A$2:$A$9,0)),Current_DTE!#REF!),"-")</f>
        <v>-</v>
      </c>
      <c r="D54" s="108" t="str">
        <f>IFERROR(IF(ISBLANK(Current_DTE!D54),INDEX(Minutes_by_use_case!$B$2:$B$9,MATCH($B54,Minutes_by_use_case!$A$2:$A$9,0)),Current_DTE!D54),"-")</f>
        <v>-</v>
      </c>
      <c r="E54" s="108" t="str">
        <f>IFERROR(IF(ISBLANK(Current_DTE!E54),INDEX(Minutes_by_use_case!$B$2:$B$9,MATCH($B54,Minutes_by_use_case!$A$2:$A$9,0)),Current_DTE!E54),"-")</f>
        <v>-</v>
      </c>
      <c r="F54" s="108" t="str">
        <f>IFERROR(IF(ISBLANK(Current_DTE!F54),INDEX(Minutes_by_use_case!$B$2:$B$9,MATCH($B54,Minutes_by_use_case!$A$2:$A$9,0)),Current_DTE!F54),"-")</f>
        <v>-</v>
      </c>
      <c r="G54" s="108" t="str">
        <f>IFERROR(IF(ISBLANK(Current_DTE!G54),INDEX(Minutes_by_use_case!$B$2:$B$9,MATCH($B54,Minutes_by_use_case!$A$2:$A$9,0)),Current_DTE!G54),"-")</f>
        <v>-</v>
      </c>
      <c r="H54" s="108" t="str">
        <f>IFERROR(IF(ISBLANK(Current_DTE!H54),INDEX(Minutes_by_use_case!$B$2:$B$9,MATCH($B54,Minutes_by_use_case!$A$2:$A$9,0)),Current_DTE!H54),"-")</f>
        <v>-</v>
      </c>
      <c r="I54" s="108" t="str">
        <f>IFERROR(IF(ISBLANK(Current_DTE!I54),INDEX(Minutes_by_use_case!$B$2:$B$9,MATCH($B54,Minutes_by_use_case!$A$2:$A$9,0)),Current_DTE!I54),"-")</f>
        <v>-</v>
      </c>
      <c r="J54" s="108" t="str">
        <f>IFERROR(IF(ISBLANK(Current_DTE!J54),INDEX(Minutes_by_use_case!$B$2:$B$9,MATCH($B54,Minutes_by_use_case!$A$2:$A$9,0)),Current_DTE!J54),"-")</f>
        <v>-</v>
      </c>
      <c r="K54" s="108" t="str">
        <f>IFERROR(IF(ISBLANK(Current_DTE!K54),INDEX(Minutes_by_use_case!$B$2:$B$9,MATCH($B54,Minutes_by_use_case!$A$2:$A$9,0)),Current_DTE!K54),"-")</f>
        <v>-</v>
      </c>
      <c r="L54" s="108" t="str">
        <f>IFERROR(IF(ISBLANK(Current_DTE!L54),INDEX(Minutes_by_use_case!$B$2:$B$9,MATCH($B54,Minutes_by_use_case!$A$2:$A$9,0)),Current_DTE!L54),"-")</f>
        <v>-</v>
      </c>
      <c r="M54" s="108" t="str">
        <f>IFERROR(IF(ISBLANK(Current_DTE!M54),INDEX(Minutes_by_use_case!$B$2:$B$9,MATCH($B54,Minutes_by_use_case!$A$2:$A$9,0)),Current_DTE!M54),"-")</f>
        <v>-</v>
      </c>
      <c r="N54" s="108" t="str">
        <f>IFERROR(IF(ISBLANK(Current_DTE!N54),INDEX(Minutes_by_use_case!$B$2:$B$9,MATCH($B54,Minutes_by_use_case!$A$2:$A$9,0)),Current_DTE!N54),"-")</f>
        <v>-</v>
      </c>
      <c r="O54" s="108" t="str">
        <f>IFERROR(IF(ISBLANK(Current_DTE!O54),INDEX(Minutes_by_use_case!$B$2:$B$9,MATCH($B54,Minutes_by_use_case!$A$2:$A$9,0)),Current_DTE!O54),"-")</f>
        <v>-</v>
      </c>
      <c r="P54" s="108" t="str">
        <f>IFERROR(IF(ISBLANK(Current_DTE!P54),INDEX(Minutes_by_use_case!$B$2:$B$9,MATCH($B54,Minutes_by_use_case!$A$2:$A$9,0)),Current_DTE!P54),"-")</f>
        <v>-</v>
      </c>
      <c r="Q54" s="108" t="str">
        <f>IFERROR(IF(ISBLANK(Current_DTE!Q54),INDEX(Minutes_by_use_case!$B$2:$B$9,MATCH($B54,Minutes_by_use_case!$A$2:$A$9,0)),Current_DTE!Q54),"-")</f>
        <v>-</v>
      </c>
      <c r="R54" s="108" t="str">
        <f>IFERROR(IF(ISBLANK(Current_DTE!R54),INDEX(Minutes_by_use_case!$B$2:$B$9,MATCH($B54,Minutes_by_use_case!$A$2:$A$9,0)),Current_DTE!R54),"-")</f>
        <v>-</v>
      </c>
      <c r="S54" s="108" t="str">
        <f>IFERROR(IF(ISBLANK(Current_DTE!S54),INDEX(Minutes_by_use_case!$B$2:$B$9,MATCH($B54,Minutes_by_use_case!$A$2:$A$9,0)),Current_DTE!S54),"-")</f>
        <v>-</v>
      </c>
      <c r="T54" s="108" t="str">
        <f>IFERROR(IF(ISBLANK(Current_DTE!T54),INDEX(Minutes_by_use_case!$B$2:$B$9,MATCH($B54,Minutes_by_use_case!$A$2:$A$9,0)),Current_DTE!T54),"-")</f>
        <v>-</v>
      </c>
      <c r="U54" s="108" t="str">
        <f>IFERROR(IF(ISBLANK(Current_DTE!U54),INDEX(Minutes_by_use_case!$B$2:$B$9,MATCH($B54,Minutes_by_use_case!$A$2:$A$9,0)),Current_DTE!U54),"-")</f>
        <v>-</v>
      </c>
      <c r="V54" s="108" t="str">
        <f>IFERROR(IF(ISBLANK(Current_DTE!V54),INDEX(Minutes_by_use_case!$B$2:$B$9,MATCH($B54,Minutes_by_use_case!$A$2:$A$9,0)),Current_DTE!V54),"-")</f>
        <v>-</v>
      </c>
    </row>
    <row r="55" spans="1:22" x14ac:dyDescent="0.3">
      <c r="A55" s="32" t="str">
        <f>lifespans_all!A55</f>
        <v>New</v>
      </c>
      <c r="B55" s="32" t="str">
        <f>lifespans_all!B55</f>
        <v>Launch Events</v>
      </c>
      <c r="C55" s="108">
        <f>IFERROR(IF(ISBLANK(Current_DTE!C55),INDEX(Minutes_by_use_case!$B$2:$B$9,MATCH($B55,Minutes_by_use_case!$A$2:$A$9,0)),Current_DTE!C55),"-")</f>
        <v>721.11352444444435</v>
      </c>
      <c r="D55" s="108">
        <f>IFERROR(IF(ISBLANK(Current_DTE!D55),INDEX(Minutes_by_use_case!$B$2:$B$9,MATCH($B55,Minutes_by_use_case!$A$2:$A$9,0)),Current_DTE!D55),"-")</f>
        <v>721.11352444444435</v>
      </c>
      <c r="E55" s="108">
        <f>IFERROR(IF(ISBLANK(Current_DTE!E55),INDEX(Minutes_by_use_case!$B$2:$B$9,MATCH($B55,Minutes_by_use_case!$A$2:$A$9,0)),Current_DTE!E55),"-")</f>
        <v>721.11352444444435</v>
      </c>
      <c r="F55" s="108">
        <f>IFERROR(IF(ISBLANK(Current_DTE!F55),INDEX(Minutes_by_use_case!$B$2:$B$9,MATCH($B55,Minutes_by_use_case!$A$2:$A$9,0)),Current_DTE!F55),"-")</f>
        <v>721.11352444444435</v>
      </c>
      <c r="G55" s="108">
        <f>IFERROR(IF(ISBLANK(Current_DTE!G55),INDEX(Minutes_by_use_case!$B$2:$B$9,MATCH($B55,Minutes_by_use_case!$A$2:$A$9,0)),Current_DTE!G55),"-")</f>
        <v>721.11352444444435</v>
      </c>
      <c r="H55" s="108">
        <f>IFERROR(IF(ISBLANK(Current_DTE!H55),INDEX(Minutes_by_use_case!$B$2:$B$9,MATCH($B55,Minutes_by_use_case!$A$2:$A$9,0)),Current_DTE!H55),"-")</f>
        <v>721.11352444444435</v>
      </c>
      <c r="I55" s="108">
        <f>IFERROR(IF(ISBLANK(Current_DTE!I55),INDEX(Minutes_by_use_case!$B$2:$B$9,MATCH($B55,Minutes_by_use_case!$A$2:$A$9,0)),Current_DTE!I55),"-")</f>
        <v>721.11352444444435</v>
      </c>
      <c r="J55" s="108">
        <f>IFERROR(IF(ISBLANK(Current_DTE!J55),INDEX(Minutes_by_use_case!$B$2:$B$9,MATCH($B55,Minutes_by_use_case!$A$2:$A$9,0)),Current_DTE!J55),"-")</f>
        <v>721.11352444444435</v>
      </c>
      <c r="K55" s="108">
        <f>IFERROR(IF(ISBLANK(Current_DTE!K55),INDEX(Minutes_by_use_case!$B$2:$B$9,MATCH($B55,Minutes_by_use_case!$A$2:$A$9,0)),Current_DTE!K55),"-")</f>
        <v>721.11352444444435</v>
      </c>
      <c r="L55" s="108">
        <f>IFERROR(IF(ISBLANK(Current_DTE!L55),INDEX(Minutes_by_use_case!$B$2:$B$9,MATCH($B55,Minutes_by_use_case!$A$2:$A$9,0)),Current_DTE!L55),"-")</f>
        <v>721.11352444444435</v>
      </c>
      <c r="M55" s="108">
        <f>IFERROR(IF(ISBLANK(Current_DTE!M55),INDEX(Minutes_by_use_case!$B$2:$B$9,MATCH($B55,Minutes_by_use_case!$A$2:$A$9,0)),Current_DTE!M55),"-")</f>
        <v>721.11352444444435</v>
      </c>
      <c r="N55" s="108">
        <f>IFERROR(IF(ISBLANK(Current_DTE!N55),INDEX(Minutes_by_use_case!$B$2:$B$9,MATCH($B55,Minutes_by_use_case!$A$2:$A$9,0)),Current_DTE!N55),"-")</f>
        <v>721.11352444444435</v>
      </c>
      <c r="O55" s="108">
        <f>IFERROR(IF(ISBLANK(Current_DTE!O55),INDEX(Minutes_by_use_case!$B$2:$B$9,MATCH($B55,Minutes_by_use_case!$A$2:$A$9,0)),Current_DTE!O55),"-")</f>
        <v>721.11352444444435</v>
      </c>
      <c r="P55" s="108">
        <f>IFERROR(IF(ISBLANK(Current_DTE!P55),INDEX(Minutes_by_use_case!$B$2:$B$9,MATCH($B55,Minutes_by_use_case!$A$2:$A$9,0)),Current_DTE!P55),"-")</f>
        <v>721.11352444444435</v>
      </c>
      <c r="Q55" s="108">
        <f>IFERROR(IF(ISBLANK(Current_DTE!Q55),INDEX(Minutes_by_use_case!$B$2:$B$9,MATCH($B55,Minutes_by_use_case!$A$2:$A$9,0)),Current_DTE!Q55),"-")</f>
        <v>721.11352444444435</v>
      </c>
      <c r="R55" s="108">
        <f>IFERROR(IF(ISBLANK(Current_DTE!R55),INDEX(Minutes_by_use_case!$B$2:$B$9,MATCH($B55,Minutes_by_use_case!$A$2:$A$9,0)),Current_DTE!R55),"-")</f>
        <v>721.11352444444435</v>
      </c>
      <c r="S55" s="108">
        <f>IFERROR(IF(ISBLANK(Current_DTE!S55),INDEX(Minutes_by_use_case!$B$2:$B$9,MATCH($B55,Minutes_by_use_case!$A$2:$A$9,0)),Current_DTE!S55),"-")</f>
        <v>721.11352444444435</v>
      </c>
      <c r="T55" s="108">
        <f>IFERROR(IF(ISBLANK(Current_DTE!T55),INDEX(Minutes_by_use_case!$B$2:$B$9,MATCH($B55,Minutes_by_use_case!$A$2:$A$9,0)),Current_DTE!T55),"-")</f>
        <v>721.11352444444435</v>
      </c>
      <c r="U55" s="108">
        <f>IFERROR(IF(ISBLANK(Current_DTE!U55),INDEX(Minutes_by_use_case!$B$2:$B$9,MATCH($B55,Minutes_by_use_case!$A$2:$A$9,0)),Current_DTE!U55),"-")</f>
        <v>721.11352444444435</v>
      </c>
      <c r="V55" s="108">
        <f>IFERROR(IF(ISBLANK(Current_DTE!V55),INDEX(Minutes_by_use_case!$B$2:$B$9,MATCH($B55,Minutes_by_use_case!$A$2:$A$9,0)),Current_DTE!V55),"-")</f>
        <v>721.11352444444435</v>
      </c>
    </row>
    <row r="56" spans="1:22" x14ac:dyDescent="0.3">
      <c r="A56" s="32" t="str">
        <f>lifespans_all!A56</f>
        <v>New</v>
      </c>
      <c r="B56" s="32" t="str">
        <f>lifespans_all!B56</f>
        <v>Terrestrial &amp; Aerial</v>
      </c>
      <c r="C56" s="108">
        <f>IFERROR(IF(ISBLANK(Current_DTE!C56),INDEX(Minutes_by_use_case!$B$2:$B$9,MATCH($B56,Minutes_by_use_case!$A$2:$A$9,0)),Current_DTE!C56),"-")</f>
        <v>89453.837836666688</v>
      </c>
      <c r="D56" s="108">
        <f>IFERROR(IF(ISBLANK(Current_DTE!D56),INDEX(Minutes_by_use_case!$B$2:$B$9,MATCH($B56,Minutes_by_use_case!$A$2:$A$9,0)),Current_DTE!D56),"-")</f>
        <v>89453.837836666688</v>
      </c>
      <c r="E56" s="108">
        <f>IFERROR(IF(ISBLANK(Current_DTE!E56),INDEX(Minutes_by_use_case!$B$2:$B$9,MATCH($B56,Minutes_by_use_case!$A$2:$A$9,0)),Current_DTE!E56),"-")</f>
        <v>89453.837836666688</v>
      </c>
      <c r="F56" s="108">
        <f>IFERROR(IF(ISBLANK(Current_DTE!F56),INDEX(Minutes_by_use_case!$B$2:$B$9,MATCH($B56,Minutes_by_use_case!$A$2:$A$9,0)),Current_DTE!F56),"-")</f>
        <v>89453.837836666688</v>
      </c>
      <c r="G56" s="108">
        <f>IFERROR(IF(ISBLANK(Current_DTE!G56),INDEX(Minutes_by_use_case!$B$2:$B$9,MATCH($B56,Minutes_by_use_case!$A$2:$A$9,0)),Current_DTE!G56),"-")</f>
        <v>89453.837836666688</v>
      </c>
      <c r="H56" s="108">
        <f>IFERROR(IF(ISBLANK(Current_DTE!H56),INDEX(Minutes_by_use_case!$B$2:$B$9,MATCH($B56,Minutes_by_use_case!$A$2:$A$9,0)),Current_DTE!H56),"-")</f>
        <v>89453.837836666688</v>
      </c>
      <c r="I56" s="108">
        <f>IFERROR(IF(ISBLANK(Current_DTE!I56),INDEX(Minutes_by_use_case!$B$2:$B$9,MATCH($B56,Minutes_by_use_case!$A$2:$A$9,0)),Current_DTE!I56),"-")</f>
        <v>89453.837836666688</v>
      </c>
      <c r="J56" s="108">
        <f>IFERROR(IF(ISBLANK(Current_DTE!J56),INDEX(Minutes_by_use_case!$B$2:$B$9,MATCH($B56,Minutes_by_use_case!$A$2:$A$9,0)),Current_DTE!J56),"-")</f>
        <v>89453.837836666688</v>
      </c>
      <c r="K56" s="108">
        <f>IFERROR(IF(ISBLANK(Current_DTE!K56),INDEX(Minutes_by_use_case!$B$2:$B$9,MATCH($B56,Minutes_by_use_case!$A$2:$A$9,0)),Current_DTE!K56),"-")</f>
        <v>89453.837836666688</v>
      </c>
      <c r="L56" s="108">
        <f>IFERROR(IF(ISBLANK(Current_DTE!L56),INDEX(Minutes_by_use_case!$B$2:$B$9,MATCH($B56,Minutes_by_use_case!$A$2:$A$9,0)),Current_DTE!L56),"-")</f>
        <v>89453.837836666688</v>
      </c>
      <c r="M56" s="108">
        <f>IFERROR(IF(ISBLANK(Current_DTE!M56),INDEX(Minutes_by_use_case!$B$2:$B$9,MATCH($B56,Minutes_by_use_case!$A$2:$A$9,0)),Current_DTE!M56),"-")</f>
        <v>89453.837836666688</v>
      </c>
      <c r="N56" s="108">
        <f>IFERROR(IF(ISBLANK(Current_DTE!N56),INDEX(Minutes_by_use_case!$B$2:$B$9,MATCH($B56,Minutes_by_use_case!$A$2:$A$9,0)),Current_DTE!N56),"-")</f>
        <v>89453.837836666688</v>
      </c>
      <c r="O56" s="108">
        <f>IFERROR(IF(ISBLANK(Current_DTE!O56),INDEX(Minutes_by_use_case!$B$2:$B$9,MATCH($B56,Minutes_by_use_case!$A$2:$A$9,0)),Current_DTE!O56),"-")</f>
        <v>89453.837836666688</v>
      </c>
      <c r="P56" s="108">
        <f>IFERROR(IF(ISBLANK(Current_DTE!P56),INDEX(Minutes_by_use_case!$B$2:$B$9,MATCH($B56,Minutes_by_use_case!$A$2:$A$9,0)),Current_DTE!P56),"-")</f>
        <v>89453.837836666688</v>
      </c>
      <c r="Q56" s="108">
        <f>IFERROR(IF(ISBLANK(Current_DTE!Q56),INDEX(Minutes_by_use_case!$B$2:$B$9,MATCH($B56,Minutes_by_use_case!$A$2:$A$9,0)),Current_DTE!Q56),"-")</f>
        <v>89453.837836666688</v>
      </c>
      <c r="R56" s="108">
        <f>IFERROR(IF(ISBLANK(Current_DTE!R56),INDEX(Minutes_by_use_case!$B$2:$B$9,MATCH($B56,Minutes_by_use_case!$A$2:$A$9,0)),Current_DTE!R56),"-")</f>
        <v>89453.837836666688</v>
      </c>
      <c r="S56" s="108">
        <f>IFERROR(IF(ISBLANK(Current_DTE!S56),INDEX(Minutes_by_use_case!$B$2:$B$9,MATCH($B56,Minutes_by_use_case!$A$2:$A$9,0)),Current_DTE!S56),"-")</f>
        <v>89453.837836666688</v>
      </c>
      <c r="T56" s="108">
        <f>IFERROR(IF(ISBLANK(Current_DTE!T56),INDEX(Minutes_by_use_case!$B$2:$B$9,MATCH($B56,Minutes_by_use_case!$A$2:$A$9,0)),Current_DTE!T56),"-")</f>
        <v>89453.837836666688</v>
      </c>
      <c r="U56" s="108">
        <f>IFERROR(IF(ISBLANK(Current_DTE!U56),INDEX(Minutes_by_use_case!$B$2:$B$9,MATCH($B56,Minutes_by_use_case!$A$2:$A$9,0)),Current_DTE!U56),"-")</f>
        <v>89453.837836666688</v>
      </c>
      <c r="V56" s="108">
        <f>IFERROR(IF(ISBLANK(Current_DTE!V56),INDEX(Minutes_by_use_case!$B$2:$B$9,MATCH($B56,Minutes_by_use_case!$A$2:$A$9,0)),Current_DTE!V56),"-")</f>
        <v>89453.837836666688</v>
      </c>
    </row>
    <row r="57" spans="1:22" x14ac:dyDescent="0.3">
      <c r="C57" s="19"/>
      <c r="D57" s="19"/>
      <c r="E57" s="19"/>
      <c r="F57" s="19"/>
      <c r="G57" s="19"/>
      <c r="H57" s="19"/>
      <c r="I57" s="19"/>
      <c r="J57" s="19"/>
      <c r="K57" s="19"/>
      <c r="L57" s="19"/>
      <c r="M57" s="19"/>
      <c r="N57" s="19"/>
      <c r="O57" s="19"/>
      <c r="P57" s="19"/>
      <c r="Q57" s="19"/>
      <c r="R57" s="19"/>
      <c r="S57" s="19"/>
      <c r="T57" s="19"/>
      <c r="U57" s="19"/>
      <c r="V57" s="19"/>
    </row>
    <row r="58" spans="1:22" x14ac:dyDescent="0.3">
      <c r="A58" s="99" t="s">
        <v>138</v>
      </c>
      <c r="C58" s="19"/>
      <c r="D58" s="19"/>
      <c r="E58" s="19"/>
      <c r="F58" s="19"/>
      <c r="G58" s="19"/>
      <c r="H58" s="19"/>
      <c r="I58" s="19"/>
      <c r="J58" s="19"/>
      <c r="K58" s="19"/>
      <c r="L58" s="19"/>
      <c r="M58" s="19"/>
      <c r="N58" s="19"/>
      <c r="O58" s="19"/>
      <c r="P58" s="19"/>
      <c r="Q58" s="19"/>
      <c r="R58" s="19"/>
      <c r="S58" s="19"/>
      <c r="T58" s="19"/>
      <c r="U58" s="19"/>
      <c r="V58" s="19"/>
    </row>
    <row r="59" spans="1:22" x14ac:dyDescent="0.3">
      <c r="C59" s="19"/>
      <c r="D59" s="19"/>
      <c r="E59" s="19"/>
      <c r="F59" s="19"/>
      <c r="G59" s="19"/>
      <c r="H59" s="19"/>
      <c r="I59" s="19"/>
      <c r="J59" s="19"/>
      <c r="K59" s="19"/>
      <c r="L59" s="19"/>
      <c r="M59" s="19"/>
      <c r="N59" s="19"/>
      <c r="O59" s="19"/>
      <c r="P59" s="19"/>
      <c r="Q59" s="19"/>
      <c r="R59" s="19"/>
      <c r="S59" s="19"/>
      <c r="T59" s="19"/>
      <c r="U59" s="19"/>
      <c r="V59" s="19"/>
    </row>
    <row r="60" spans="1:22" x14ac:dyDescent="0.3">
      <c r="C60" s="19"/>
      <c r="D60" s="19"/>
      <c r="E60" s="19"/>
      <c r="F60" s="19"/>
      <c r="G60" s="19"/>
      <c r="H60" s="19"/>
      <c r="I60" s="19"/>
      <c r="J60" s="19"/>
      <c r="K60" s="19"/>
      <c r="L60" s="19"/>
      <c r="M60" s="19"/>
      <c r="N60" s="19"/>
      <c r="O60" s="19"/>
      <c r="P60" s="19"/>
      <c r="Q60" s="19"/>
      <c r="R60" s="19"/>
      <c r="S60" s="19"/>
      <c r="T60" s="19"/>
      <c r="U60" s="19"/>
      <c r="V60" s="19"/>
    </row>
  </sheetData>
  <autoFilter ref="A1:V48" xr:uid="{3A8DBBC3-2F6E-4F74-9731-6A90B0FA0F89}">
    <sortState xmlns:xlrd2="http://schemas.microsoft.com/office/spreadsheetml/2017/richdata2" ref="A2:V48">
      <sortCondition ref="A1:A48"/>
    </sortState>
  </autoFilter>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94603A-5154-43C7-B277-1B55F054D077}">
  <sheetPr codeName="Sheet10">
    <tabColor rgb="FFFFFF00"/>
  </sheetPr>
  <dimension ref="A1:V240"/>
  <sheetViews>
    <sheetView zoomScaleNormal="100" workbookViewId="0">
      <selection activeCell="E4" sqref="E4"/>
    </sheetView>
  </sheetViews>
  <sheetFormatPr defaultRowHeight="13.8" x14ac:dyDescent="0.25"/>
  <cols>
    <col min="1" max="1" width="17.109375" style="2" customWidth="1"/>
    <col min="2" max="2" width="57.6640625" style="2" customWidth="1"/>
    <col min="3" max="7" width="12.21875" style="85" bestFit="1" customWidth="1"/>
    <col min="8" max="22" width="9.44140625" style="85" customWidth="1"/>
    <col min="23" max="16384" width="8.88671875" style="2"/>
  </cols>
  <sheetData>
    <row r="1" spans="1:22" s="11" customFormat="1" x14ac:dyDescent="0.25">
      <c r="A1" s="30" t="s">
        <v>16</v>
      </c>
      <c r="B1" s="30"/>
      <c r="C1" s="30">
        <v>2021</v>
      </c>
      <c r="D1" s="31">
        <v>2022</v>
      </c>
      <c r="E1" s="30">
        <v>2023</v>
      </c>
      <c r="F1" s="31">
        <v>2024</v>
      </c>
      <c r="G1" s="30">
        <v>2025</v>
      </c>
      <c r="H1" s="31">
        <v>2026</v>
      </c>
      <c r="I1" s="30">
        <v>2027</v>
      </c>
      <c r="J1" s="31">
        <v>2028</v>
      </c>
      <c r="K1" s="30">
        <v>2029</v>
      </c>
      <c r="L1" s="31">
        <v>2030</v>
      </c>
      <c r="M1" s="30">
        <v>2031</v>
      </c>
      <c r="N1" s="31">
        <v>2032</v>
      </c>
      <c r="O1" s="30">
        <v>2033</v>
      </c>
      <c r="P1" s="31">
        <v>2034</v>
      </c>
      <c r="Q1" s="30">
        <v>2035</v>
      </c>
      <c r="R1" s="31">
        <v>2036</v>
      </c>
      <c r="S1" s="30">
        <v>2037</v>
      </c>
      <c r="T1" s="31">
        <v>2038</v>
      </c>
      <c r="U1" s="30">
        <v>2039</v>
      </c>
      <c r="V1" s="31">
        <v>2040</v>
      </c>
    </row>
    <row r="2" spans="1:22" x14ac:dyDescent="0.25">
      <c r="A2" s="32" t="s">
        <v>47</v>
      </c>
      <c r="B2" s="33" t="s">
        <v>41</v>
      </c>
      <c r="C2" s="108">
        <f>IFERROR(lifespans_all!C2*DTE_mission_minutes!C2,"-")</f>
        <v>133409.35004928565</v>
      </c>
      <c r="D2" s="108">
        <f>IFERROR(lifespans_all!D2*DTE_mission_minutes!D2,"-")</f>
        <v>133409.35004928565</v>
      </c>
      <c r="E2" s="108">
        <f>IFERROR(lifespans_all!E2*DTE_mission_minutes!E2,"-")</f>
        <v>0</v>
      </c>
      <c r="F2" s="108">
        <f>IFERROR(lifespans_all!F2*DTE_mission_minutes!F2,"-")</f>
        <v>0</v>
      </c>
      <c r="G2" s="108">
        <f>IFERROR(lifespans_all!G2*DTE_mission_minutes!G2,"-")</f>
        <v>0</v>
      </c>
      <c r="H2" s="108">
        <f>IFERROR(lifespans_all!H2*DTE_mission_minutes!H2,"-")</f>
        <v>0</v>
      </c>
      <c r="I2" s="108">
        <f>IFERROR(lifespans_all!I2*DTE_mission_minutes!I2,"-")</f>
        <v>0</v>
      </c>
      <c r="J2" s="108">
        <f>IFERROR(lifespans_all!J2*DTE_mission_minutes!J2,"-")</f>
        <v>0</v>
      </c>
      <c r="K2" s="108">
        <f>IFERROR(lifespans_all!K2*DTE_mission_minutes!K2,"-")</f>
        <v>0</v>
      </c>
      <c r="L2" s="108">
        <f>IFERROR(lifespans_all!L2*DTE_mission_minutes!L2,"-")</f>
        <v>0</v>
      </c>
      <c r="M2" s="108">
        <f>IFERROR(lifespans_all!M2*DTE_mission_minutes!M2,"-")</f>
        <v>0</v>
      </c>
      <c r="N2" s="108">
        <f>IFERROR(lifespans_all!N2*DTE_mission_minutes!N2,"-")</f>
        <v>0</v>
      </c>
      <c r="O2" s="108">
        <f>IFERROR(lifespans_all!O2*DTE_mission_minutes!O2,"-")</f>
        <v>0</v>
      </c>
      <c r="P2" s="108">
        <f>IFERROR(lifespans_all!P2*DTE_mission_minutes!P2,"-")</f>
        <v>0</v>
      </c>
      <c r="Q2" s="108">
        <f>IFERROR(lifespans_all!Q2*DTE_mission_minutes!Q2,"-")</f>
        <v>0</v>
      </c>
      <c r="R2" s="108">
        <f>IFERROR(lifespans_all!R2*DTE_mission_minutes!R2,"-")</f>
        <v>0</v>
      </c>
      <c r="S2" s="108">
        <f>IFERROR(lifespans_all!S2*DTE_mission_minutes!S2,"-")</f>
        <v>0</v>
      </c>
      <c r="T2" s="108">
        <f>IFERROR(lifespans_all!T2*DTE_mission_minutes!T2,"-")</f>
        <v>0</v>
      </c>
      <c r="U2" s="108">
        <f>IFERROR(lifespans_all!U2*DTE_mission_minutes!U2,"-")</f>
        <v>0</v>
      </c>
      <c r="V2" s="108">
        <f>IFERROR(lifespans_all!V2*DTE_mission_minutes!V2,"-")</f>
        <v>0</v>
      </c>
    </row>
    <row r="3" spans="1:22" x14ac:dyDescent="0.25">
      <c r="A3" s="32" t="s">
        <v>17</v>
      </c>
      <c r="B3" s="33" t="s">
        <v>41</v>
      </c>
      <c r="C3" s="108">
        <f>IFERROR(lifespans_all!C3*DTE_mission_minutes!C3,"-")</f>
        <v>2249.4702694444441</v>
      </c>
      <c r="D3" s="108">
        <f>IFERROR(lifespans_all!D3*DTE_mission_minutes!D3,"-")</f>
        <v>1189.7750000000001</v>
      </c>
      <c r="E3" s="108">
        <f>IFERROR(lifespans_all!E3*DTE_mission_minutes!E3,"-")</f>
        <v>649.57638888888891</v>
      </c>
      <c r="F3" s="108">
        <f>IFERROR(lifespans_all!F3*DTE_mission_minutes!F3,"-")</f>
        <v>1663.1641649999997</v>
      </c>
      <c r="G3" s="108">
        <f>IFERROR(lifespans_all!G3*DTE_mission_minutes!G3,"-")</f>
        <v>0</v>
      </c>
      <c r="H3" s="108">
        <f>IFERROR(lifespans_all!H3*DTE_mission_minutes!H3,"-")</f>
        <v>0</v>
      </c>
      <c r="I3" s="108">
        <f>IFERROR(lifespans_all!I3*DTE_mission_minutes!I3,"-")</f>
        <v>0</v>
      </c>
      <c r="J3" s="108">
        <f>IFERROR(lifespans_all!J3*DTE_mission_minutes!J3,"-")</f>
        <v>0</v>
      </c>
      <c r="K3" s="108">
        <f>IFERROR(lifespans_all!K3*DTE_mission_minutes!K3,"-")</f>
        <v>0</v>
      </c>
      <c r="L3" s="108">
        <f>IFERROR(lifespans_all!L3*DTE_mission_minutes!L3,"-")</f>
        <v>0</v>
      </c>
      <c r="M3" s="108">
        <f>IFERROR(lifespans_all!M3*DTE_mission_minutes!M3,"-")</f>
        <v>0</v>
      </c>
      <c r="N3" s="108">
        <f>IFERROR(lifespans_all!N3*DTE_mission_minutes!N3,"-")</f>
        <v>0</v>
      </c>
      <c r="O3" s="108">
        <f>IFERROR(lifespans_all!O3*DTE_mission_minutes!O3,"-")</f>
        <v>0</v>
      </c>
      <c r="P3" s="108">
        <f>IFERROR(lifespans_all!P3*DTE_mission_minutes!P3,"-")</f>
        <v>0</v>
      </c>
      <c r="Q3" s="108">
        <f>IFERROR(lifespans_all!Q3*DTE_mission_minutes!Q3,"-")</f>
        <v>0</v>
      </c>
      <c r="R3" s="108">
        <f>IFERROR(lifespans_all!R3*DTE_mission_minutes!R3,"-")</f>
        <v>0</v>
      </c>
      <c r="S3" s="108">
        <f>IFERROR(lifespans_all!S3*DTE_mission_minutes!S3,"-")</f>
        <v>0</v>
      </c>
      <c r="T3" s="108">
        <f>IFERROR(lifespans_all!T3*DTE_mission_minutes!T3,"-")</f>
        <v>0</v>
      </c>
      <c r="U3" s="108">
        <f>IFERROR(lifespans_all!U3*DTE_mission_minutes!U3,"-")</f>
        <v>0</v>
      </c>
      <c r="V3" s="108">
        <f>IFERROR(lifespans_all!V3*DTE_mission_minutes!V3,"-")</f>
        <v>0</v>
      </c>
    </row>
    <row r="4" spans="1:22" x14ac:dyDescent="0.25">
      <c r="A4" s="32" t="s">
        <v>49</v>
      </c>
      <c r="B4" s="33" t="s">
        <v>41</v>
      </c>
      <c r="C4" s="108">
        <f>IFERROR(lifespans_all!C4*DTE_mission_minutes!C4,"-")</f>
        <v>1151.5091666666667</v>
      </c>
      <c r="D4" s="108">
        <f>IFERROR(lifespans_all!D4*DTE_mission_minutes!D4,"-")</f>
        <v>1164.4527777777778</v>
      </c>
      <c r="E4" s="108">
        <f>IFERROR(lifespans_all!E4*DTE_mission_minutes!E4,"-")</f>
        <v>862.00805555555553</v>
      </c>
      <c r="F4" s="108">
        <f>IFERROR(lifespans_all!F4*DTE_mission_minutes!F4,"-")</f>
        <v>1093.0107777777775</v>
      </c>
      <c r="G4" s="108">
        <f>IFERROR(lifespans_all!G4*DTE_mission_minutes!G4,"-")</f>
        <v>1093.0107777777775</v>
      </c>
      <c r="H4" s="108">
        <f>IFERROR(lifespans_all!H4*DTE_mission_minutes!H4,"-")</f>
        <v>1093.0107777777775</v>
      </c>
      <c r="I4" s="108">
        <f>IFERROR(lifespans_all!I4*DTE_mission_minutes!I4,"-")</f>
        <v>0</v>
      </c>
      <c r="J4" s="108">
        <f>IFERROR(lifespans_all!J4*DTE_mission_minutes!J4,"-")</f>
        <v>0</v>
      </c>
      <c r="K4" s="108">
        <f>IFERROR(lifespans_all!K4*DTE_mission_minutes!K4,"-")</f>
        <v>0</v>
      </c>
      <c r="L4" s="108">
        <f>IFERROR(lifespans_all!L4*DTE_mission_minutes!L4,"-")</f>
        <v>0</v>
      </c>
      <c r="M4" s="108">
        <f>IFERROR(lifespans_all!M4*DTE_mission_minutes!M4,"-")</f>
        <v>0</v>
      </c>
      <c r="N4" s="108">
        <f>IFERROR(lifespans_all!N4*DTE_mission_minutes!N4,"-")</f>
        <v>0</v>
      </c>
      <c r="O4" s="108">
        <f>IFERROR(lifespans_all!O4*DTE_mission_minutes!O4,"-")</f>
        <v>0</v>
      </c>
      <c r="P4" s="108">
        <f>IFERROR(lifespans_all!P4*DTE_mission_minutes!P4,"-")</f>
        <v>0</v>
      </c>
      <c r="Q4" s="108">
        <f>IFERROR(lifespans_all!Q4*DTE_mission_minutes!Q4,"-")</f>
        <v>0</v>
      </c>
      <c r="R4" s="108">
        <f>IFERROR(lifespans_all!R4*DTE_mission_minutes!R4,"-")</f>
        <v>0</v>
      </c>
      <c r="S4" s="108">
        <f>IFERROR(lifespans_all!S4*DTE_mission_minutes!S4,"-")</f>
        <v>0</v>
      </c>
      <c r="T4" s="108">
        <f>IFERROR(lifespans_all!T4*DTE_mission_minutes!T4,"-")</f>
        <v>0</v>
      </c>
      <c r="U4" s="108">
        <f>IFERROR(lifespans_all!U4*DTE_mission_minutes!U4,"-")</f>
        <v>0</v>
      </c>
      <c r="V4" s="108">
        <f>IFERROR(lifespans_all!V4*DTE_mission_minutes!V4,"-")</f>
        <v>0</v>
      </c>
    </row>
    <row r="5" spans="1:22" x14ac:dyDescent="0.25">
      <c r="A5" s="32" t="s">
        <v>50</v>
      </c>
      <c r="B5" s="39" t="s">
        <v>43</v>
      </c>
      <c r="C5" s="108">
        <f>IFERROR(lifespans_all!C5*DTE_mission_minutes!C5,"-")</f>
        <v>171572.29579277776</v>
      </c>
      <c r="D5" s="108">
        <f>IFERROR(lifespans_all!D5*DTE_mission_minutes!D5,"-")</f>
        <v>171572.29579277776</v>
      </c>
      <c r="E5" s="108">
        <f>IFERROR(lifespans_all!E5*DTE_mission_minutes!E5,"-")</f>
        <v>171572.29579277776</v>
      </c>
      <c r="F5" s="108">
        <f>IFERROR(lifespans_all!F5*DTE_mission_minutes!F5,"-")</f>
        <v>171572.29579277776</v>
      </c>
      <c r="G5" s="108">
        <f>IFERROR(lifespans_all!G5*DTE_mission_minutes!G5,"-")</f>
        <v>171572.29579277776</v>
      </c>
      <c r="H5" s="108">
        <f>IFERROR(lifespans_all!H5*DTE_mission_minutes!H5,"-")</f>
        <v>171572.29579277776</v>
      </c>
      <c r="I5" s="108">
        <f>IFERROR(lifespans_all!I5*DTE_mission_minutes!I5,"-")</f>
        <v>171572.29579277776</v>
      </c>
      <c r="J5" s="108">
        <f>IFERROR(lifespans_all!J5*DTE_mission_minutes!J5,"-")</f>
        <v>171572.29579277776</v>
      </c>
      <c r="K5" s="108">
        <f>IFERROR(lifespans_all!K5*DTE_mission_minutes!K5,"-")</f>
        <v>171572.29579277776</v>
      </c>
      <c r="L5" s="108">
        <f>IFERROR(lifespans_all!L5*DTE_mission_minutes!L5,"-")</f>
        <v>171572.29579277776</v>
      </c>
      <c r="M5" s="108">
        <f>IFERROR(lifespans_all!M5*DTE_mission_minutes!M5,"-")</f>
        <v>171572.29579277776</v>
      </c>
      <c r="N5" s="108">
        <f>IFERROR(lifespans_all!N5*DTE_mission_minutes!N5,"-")</f>
        <v>171572.29579277776</v>
      </c>
      <c r="O5" s="108">
        <f>IFERROR(lifespans_all!O5*DTE_mission_minutes!O5,"-")</f>
        <v>171572.29579277776</v>
      </c>
      <c r="P5" s="108">
        <f>IFERROR(lifespans_all!P5*DTE_mission_minutes!P5,"-")</f>
        <v>171572.29579277776</v>
      </c>
      <c r="Q5" s="108">
        <f>IFERROR(lifespans_all!Q5*DTE_mission_minutes!Q5,"-")</f>
        <v>171572.29579277776</v>
      </c>
      <c r="R5" s="108">
        <f>IFERROR(lifespans_all!R5*DTE_mission_minutes!R5,"-")</f>
        <v>171572.29579277776</v>
      </c>
      <c r="S5" s="108">
        <f>IFERROR(lifespans_all!S5*DTE_mission_minutes!S5,"-")</f>
        <v>171572.29579277776</v>
      </c>
      <c r="T5" s="108">
        <f>IFERROR(lifespans_all!T5*DTE_mission_minutes!T5,"-")</f>
        <v>171572.29579277776</v>
      </c>
      <c r="U5" s="108">
        <f>IFERROR(lifespans_all!U5*DTE_mission_minutes!U5,"-")</f>
        <v>171572.29579277776</v>
      </c>
      <c r="V5" s="108">
        <f>IFERROR(lifespans_all!V5*DTE_mission_minutes!V5,"-")</f>
        <v>171572.29579277776</v>
      </c>
    </row>
    <row r="6" spans="1:22" x14ac:dyDescent="0.25">
      <c r="A6" s="32" t="s">
        <v>51</v>
      </c>
      <c r="B6" s="40" t="s">
        <v>42</v>
      </c>
      <c r="C6" s="108">
        <f>IFERROR(lifespans_all!C6*DTE_mission_minutes!C6,"-")</f>
        <v>30.559216666666664</v>
      </c>
      <c r="D6" s="108">
        <f>IFERROR(lifespans_all!D6*DTE_mission_minutes!D6,"-")</f>
        <v>69.774163888888879</v>
      </c>
      <c r="E6" s="108">
        <f>IFERROR(lifespans_all!E6*DTE_mission_minutes!E6,"-")</f>
        <v>18.289311111111111</v>
      </c>
      <c r="F6" s="108">
        <f>IFERROR(lifespans_all!F6*DTE_mission_minutes!F6,"-")</f>
        <v>35.440637222222215</v>
      </c>
      <c r="G6" s="108">
        <f>IFERROR(lifespans_all!G6*DTE_mission_minutes!G6,"-")</f>
        <v>0</v>
      </c>
      <c r="H6" s="108">
        <f>IFERROR(lifespans_all!H6*DTE_mission_minutes!H6,"-")</f>
        <v>0</v>
      </c>
      <c r="I6" s="108">
        <f>IFERROR(lifespans_all!I6*DTE_mission_minutes!I6,"-")</f>
        <v>0</v>
      </c>
      <c r="J6" s="108">
        <f>IFERROR(lifespans_all!J6*DTE_mission_minutes!J6,"-")</f>
        <v>0</v>
      </c>
      <c r="K6" s="108">
        <f>IFERROR(lifespans_all!K6*DTE_mission_minutes!K6,"-")</f>
        <v>0</v>
      </c>
      <c r="L6" s="108">
        <f>IFERROR(lifespans_all!L6*DTE_mission_minutes!L6,"-")</f>
        <v>0</v>
      </c>
      <c r="M6" s="108">
        <f>IFERROR(lifespans_all!M6*DTE_mission_minutes!M6,"-")</f>
        <v>0</v>
      </c>
      <c r="N6" s="108">
        <f>IFERROR(lifespans_all!N6*DTE_mission_minutes!N6,"-")</f>
        <v>0</v>
      </c>
      <c r="O6" s="108">
        <f>IFERROR(lifespans_all!O6*DTE_mission_minutes!O6,"-")</f>
        <v>0</v>
      </c>
      <c r="P6" s="108">
        <f>IFERROR(lifespans_all!P6*DTE_mission_minutes!P6,"-")</f>
        <v>0</v>
      </c>
      <c r="Q6" s="108">
        <f>IFERROR(lifespans_all!Q6*DTE_mission_minutes!Q6,"-")</f>
        <v>0</v>
      </c>
      <c r="R6" s="108">
        <f>IFERROR(lifespans_all!R6*DTE_mission_minutes!R6,"-")</f>
        <v>0</v>
      </c>
      <c r="S6" s="108">
        <f>IFERROR(lifespans_all!S6*DTE_mission_minutes!S6,"-")</f>
        <v>0</v>
      </c>
      <c r="T6" s="108">
        <f>IFERROR(lifespans_all!T6*DTE_mission_minutes!T6,"-")</f>
        <v>0</v>
      </c>
      <c r="U6" s="108">
        <f>IFERROR(lifespans_all!U6*DTE_mission_minutes!U6,"-")</f>
        <v>0</v>
      </c>
      <c r="V6" s="108">
        <f>IFERROR(lifespans_all!V6*DTE_mission_minutes!V6,"-")</f>
        <v>0</v>
      </c>
    </row>
    <row r="7" spans="1:22" x14ac:dyDescent="0.25">
      <c r="A7" s="32" t="s">
        <v>52</v>
      </c>
      <c r="B7" s="33" t="s">
        <v>41</v>
      </c>
      <c r="C7" s="108">
        <f>IFERROR(lifespans_all!C7*DTE_mission_minutes!C7,"-")</f>
        <v>667.42555555555555</v>
      </c>
      <c r="D7" s="108">
        <f>IFERROR(lifespans_all!D7*DTE_mission_minutes!D7,"-")</f>
        <v>707.53916666666669</v>
      </c>
      <c r="E7" s="108">
        <f>IFERROR(lifespans_all!E7*DTE_mission_minutes!E7,"-")</f>
        <v>608.43833333333339</v>
      </c>
      <c r="F7" s="108">
        <f>IFERROR(lifespans_all!F7*DTE_mission_minutes!F7,"-")</f>
        <v>671.11811111111115</v>
      </c>
      <c r="G7" s="108">
        <f>IFERROR(lifespans_all!G7*DTE_mission_minutes!G7,"-")</f>
        <v>671.11811111111115</v>
      </c>
      <c r="H7" s="108">
        <f>IFERROR(lifespans_all!H7*DTE_mission_minutes!H7,"-")</f>
        <v>671.11811111111115</v>
      </c>
      <c r="I7" s="108">
        <f>IFERROR(lifespans_all!I7*DTE_mission_minutes!I7,"-")</f>
        <v>0</v>
      </c>
      <c r="J7" s="108">
        <f>IFERROR(lifespans_all!J7*DTE_mission_minutes!J7,"-")</f>
        <v>0</v>
      </c>
      <c r="K7" s="108">
        <f>IFERROR(lifespans_all!K7*DTE_mission_minutes!K7,"-")</f>
        <v>0</v>
      </c>
      <c r="L7" s="108">
        <f>IFERROR(lifespans_all!L7*DTE_mission_minutes!L7,"-")</f>
        <v>0</v>
      </c>
      <c r="M7" s="108">
        <f>IFERROR(lifespans_all!M7*DTE_mission_minutes!M7,"-")</f>
        <v>0</v>
      </c>
      <c r="N7" s="108">
        <f>IFERROR(lifespans_all!N7*DTE_mission_minutes!N7,"-")</f>
        <v>0</v>
      </c>
      <c r="O7" s="108">
        <f>IFERROR(lifespans_all!O7*DTE_mission_minutes!O7,"-")</f>
        <v>0</v>
      </c>
      <c r="P7" s="108">
        <f>IFERROR(lifespans_all!P7*DTE_mission_minutes!P7,"-")</f>
        <v>0</v>
      </c>
      <c r="Q7" s="108">
        <f>IFERROR(lifespans_all!Q7*DTE_mission_minutes!Q7,"-")</f>
        <v>0</v>
      </c>
      <c r="R7" s="108">
        <f>IFERROR(lifespans_all!R7*DTE_mission_minutes!R7,"-")</f>
        <v>0</v>
      </c>
      <c r="S7" s="108">
        <f>IFERROR(lifespans_all!S7*DTE_mission_minutes!S7,"-")</f>
        <v>0</v>
      </c>
      <c r="T7" s="108">
        <f>IFERROR(lifespans_all!T7*DTE_mission_minutes!T7,"-")</f>
        <v>0</v>
      </c>
      <c r="U7" s="108">
        <f>IFERROR(lifespans_all!U7*DTE_mission_minutes!U7,"-")</f>
        <v>0</v>
      </c>
      <c r="V7" s="108">
        <f>IFERROR(lifespans_all!V7*DTE_mission_minutes!V7,"-")</f>
        <v>0</v>
      </c>
    </row>
    <row r="8" spans="1:22" x14ac:dyDescent="0.25">
      <c r="A8" s="32" t="s">
        <v>18</v>
      </c>
      <c r="B8" s="41" t="s">
        <v>48</v>
      </c>
      <c r="C8" s="108">
        <f>IFERROR(lifespans_all!C8*DTE_mission_minutes!C8,"-")</f>
        <v>508.14004722222222</v>
      </c>
      <c r="D8" s="108">
        <f>IFERROR(lifespans_all!D8*DTE_mission_minutes!D8,"-")</f>
        <v>377.5913888888889</v>
      </c>
      <c r="E8" s="108">
        <f>IFERROR(lifespans_all!E8*DTE_mission_minutes!E8,"-")</f>
        <v>307.24861111111113</v>
      </c>
      <c r="F8" s="108">
        <f>IFERROR(lifespans_all!F8*DTE_mission_minutes!F8,"-")</f>
        <v>392.20349666666669</v>
      </c>
      <c r="G8" s="108">
        <f>IFERROR(lifespans_all!G8*DTE_mission_minutes!G8,"-")</f>
        <v>392.20349666666669</v>
      </c>
      <c r="H8" s="108">
        <f>IFERROR(lifespans_all!H8*DTE_mission_minutes!H8,"-")</f>
        <v>392.20349666666669</v>
      </c>
      <c r="I8" s="108">
        <f>IFERROR(lifespans_all!I8*DTE_mission_minutes!I8,"-")</f>
        <v>392.20349666666669</v>
      </c>
      <c r="J8" s="108">
        <f>IFERROR(lifespans_all!J8*DTE_mission_minutes!J8,"-")</f>
        <v>392.20349666666669</v>
      </c>
      <c r="K8" s="108">
        <f>IFERROR(lifespans_all!K8*DTE_mission_minutes!K8,"-")</f>
        <v>392.20349666666669</v>
      </c>
      <c r="L8" s="108">
        <f>IFERROR(lifespans_all!L8*DTE_mission_minutes!L8,"-")</f>
        <v>392.20349666666669</v>
      </c>
      <c r="M8" s="108">
        <f>IFERROR(lifespans_all!M8*DTE_mission_minutes!M8,"-")</f>
        <v>392.20349666666669</v>
      </c>
      <c r="N8" s="108">
        <f>IFERROR(lifespans_all!N8*DTE_mission_minutes!N8,"-")</f>
        <v>392.20349666666669</v>
      </c>
      <c r="O8" s="108">
        <f>IFERROR(lifespans_all!O8*DTE_mission_minutes!O8,"-")</f>
        <v>392.20349666666669</v>
      </c>
      <c r="P8" s="108">
        <f>IFERROR(lifespans_all!P8*DTE_mission_minutes!P8,"-")</f>
        <v>392.20349666666669</v>
      </c>
      <c r="Q8" s="108">
        <f>IFERROR(lifespans_all!Q8*DTE_mission_minutes!Q8,"-")</f>
        <v>392.20349666666669</v>
      </c>
      <c r="R8" s="108">
        <f>IFERROR(lifespans_all!R8*DTE_mission_minutes!R8,"-")</f>
        <v>392.20349666666669</v>
      </c>
      <c r="S8" s="108">
        <f>IFERROR(lifespans_all!S8*DTE_mission_minutes!S8,"-")</f>
        <v>392.20349666666669</v>
      </c>
      <c r="T8" s="108">
        <f>IFERROR(lifespans_all!T8*DTE_mission_minutes!T8,"-")</f>
        <v>392.20349666666669</v>
      </c>
      <c r="U8" s="108">
        <f>IFERROR(lifespans_all!U8*DTE_mission_minutes!U8,"-")</f>
        <v>392.20349666666669</v>
      </c>
      <c r="V8" s="108">
        <f>IFERROR(lifespans_all!V8*DTE_mission_minutes!V8,"-")</f>
        <v>392.20349666666669</v>
      </c>
    </row>
    <row r="9" spans="1:22" x14ac:dyDescent="0.25">
      <c r="A9" s="32" t="s">
        <v>53</v>
      </c>
      <c r="B9" s="33" t="s">
        <v>41</v>
      </c>
      <c r="C9" s="108">
        <f>IFERROR(lifespans_all!C9*DTE_mission_minutes!C9,"-")</f>
        <v>0</v>
      </c>
      <c r="D9" s="108">
        <f>IFERROR(lifespans_all!D9*DTE_mission_minutes!D9,"-")</f>
        <v>0</v>
      </c>
      <c r="E9" s="108">
        <f>IFERROR(lifespans_all!E9*DTE_mission_minutes!E9,"-")</f>
        <v>0</v>
      </c>
      <c r="F9" s="108">
        <f>IFERROR(lifespans_all!F9*DTE_mission_minutes!F9,"-")</f>
        <v>0</v>
      </c>
      <c r="G9" s="108">
        <f>IFERROR(lifespans_all!G9*DTE_mission_minutes!G9,"-")</f>
        <v>0</v>
      </c>
      <c r="H9" s="108">
        <f>IFERROR(lifespans_all!H9*DTE_mission_minutes!H9,"-")</f>
        <v>0</v>
      </c>
      <c r="I9" s="108">
        <f>IFERROR(lifespans_all!I9*DTE_mission_minutes!I9,"-")</f>
        <v>0</v>
      </c>
      <c r="J9" s="108">
        <f>IFERROR(lifespans_all!J9*DTE_mission_minutes!J9,"-")</f>
        <v>0</v>
      </c>
      <c r="K9" s="108">
        <f>IFERROR(lifespans_all!K9*DTE_mission_minutes!K9,"-")</f>
        <v>0</v>
      </c>
      <c r="L9" s="108">
        <f>IFERROR(lifespans_all!L9*DTE_mission_minutes!L9,"-")</f>
        <v>0</v>
      </c>
      <c r="M9" s="108">
        <f>IFERROR(lifespans_all!M9*DTE_mission_minutes!M9,"-")</f>
        <v>0</v>
      </c>
      <c r="N9" s="108">
        <f>IFERROR(lifespans_all!N9*DTE_mission_minutes!N9,"-")</f>
        <v>0</v>
      </c>
      <c r="O9" s="108">
        <f>IFERROR(lifespans_all!O9*DTE_mission_minutes!O9,"-")</f>
        <v>0</v>
      </c>
      <c r="P9" s="108">
        <f>IFERROR(lifespans_all!P9*DTE_mission_minutes!P9,"-")</f>
        <v>0</v>
      </c>
      <c r="Q9" s="108">
        <f>IFERROR(lifespans_all!Q9*DTE_mission_minutes!Q9,"-")</f>
        <v>0</v>
      </c>
      <c r="R9" s="108">
        <f>IFERROR(lifespans_all!R9*DTE_mission_minutes!R9,"-")</f>
        <v>0</v>
      </c>
      <c r="S9" s="108">
        <f>IFERROR(lifespans_all!S9*DTE_mission_minutes!S9,"-")</f>
        <v>0</v>
      </c>
      <c r="T9" s="108">
        <f>IFERROR(lifespans_all!T9*DTE_mission_minutes!T9,"-")</f>
        <v>0</v>
      </c>
      <c r="U9" s="108">
        <f>IFERROR(lifespans_all!U9*DTE_mission_minutes!U9,"-")</f>
        <v>0</v>
      </c>
      <c r="V9" s="108">
        <f>IFERROR(lifespans_all!V9*DTE_mission_minutes!V9,"-")</f>
        <v>0</v>
      </c>
    </row>
    <row r="10" spans="1:22" x14ac:dyDescent="0.25">
      <c r="A10" s="32" t="s">
        <v>54</v>
      </c>
      <c r="B10" s="40" t="s">
        <v>43</v>
      </c>
      <c r="C10" s="108">
        <f>IFERROR(lifespans_all!C10*DTE_mission_minutes!C10,"-")</f>
        <v>1178.5658305555555</v>
      </c>
      <c r="D10" s="108">
        <f>IFERROR(lifespans_all!D10*DTE_mission_minutes!D10,"-")</f>
        <v>779.39891388888896</v>
      </c>
      <c r="E10" s="108">
        <f>IFERROR(lifespans_all!E10*DTE_mission_minutes!E10,"-")</f>
        <v>4.2386111111111111</v>
      </c>
      <c r="F10" s="108">
        <f>IFERROR(lifespans_all!F10*DTE_mission_minutes!F10,"-")</f>
        <v>871.54136999999992</v>
      </c>
      <c r="G10" s="108">
        <f>IFERROR(lifespans_all!G10*DTE_mission_minutes!G10,"-")</f>
        <v>871.54136999999992</v>
      </c>
      <c r="H10" s="108">
        <f>IFERROR(lifespans_all!H10*DTE_mission_minutes!H10,"-")</f>
        <v>871.54136999999992</v>
      </c>
      <c r="I10" s="108">
        <f>IFERROR(lifespans_all!I10*DTE_mission_minutes!I10,"-")</f>
        <v>871.54136999999992</v>
      </c>
      <c r="J10" s="108">
        <f>IFERROR(lifespans_all!J10*DTE_mission_minutes!J10,"-")</f>
        <v>871.54136999999992</v>
      </c>
      <c r="K10" s="108">
        <f>IFERROR(lifespans_all!K10*DTE_mission_minutes!K10,"-")</f>
        <v>871.54136999999992</v>
      </c>
      <c r="L10" s="108">
        <f>IFERROR(lifespans_all!L10*DTE_mission_minutes!L10,"-")</f>
        <v>871.54136999999992</v>
      </c>
      <c r="M10" s="108">
        <f>IFERROR(lifespans_all!M10*DTE_mission_minutes!M10,"-")</f>
        <v>0</v>
      </c>
      <c r="N10" s="108">
        <f>IFERROR(lifespans_all!N10*DTE_mission_minutes!N10,"-")</f>
        <v>0</v>
      </c>
      <c r="O10" s="108">
        <f>IFERROR(lifespans_all!O10*DTE_mission_minutes!O10,"-")</f>
        <v>0</v>
      </c>
      <c r="P10" s="108">
        <f>IFERROR(lifespans_all!P10*DTE_mission_minutes!P10,"-")</f>
        <v>0</v>
      </c>
      <c r="Q10" s="108">
        <f>IFERROR(lifespans_all!Q10*DTE_mission_minutes!Q10,"-")</f>
        <v>0</v>
      </c>
      <c r="R10" s="108">
        <f>IFERROR(lifespans_all!R10*DTE_mission_minutes!R10,"-")</f>
        <v>0</v>
      </c>
      <c r="S10" s="108">
        <f>IFERROR(lifespans_all!S10*DTE_mission_minutes!S10,"-")</f>
        <v>0</v>
      </c>
      <c r="T10" s="108">
        <f>IFERROR(lifespans_all!T10*DTE_mission_minutes!T10,"-")</f>
        <v>0</v>
      </c>
      <c r="U10" s="108">
        <f>IFERROR(lifespans_all!U10*DTE_mission_minutes!U10,"-")</f>
        <v>0</v>
      </c>
      <c r="V10" s="108">
        <f>IFERROR(lifespans_all!V10*DTE_mission_minutes!V10,"-")</f>
        <v>0</v>
      </c>
    </row>
    <row r="11" spans="1:22" x14ac:dyDescent="0.25">
      <c r="A11" s="32" t="s">
        <v>55</v>
      </c>
      <c r="B11" s="40" t="s">
        <v>42</v>
      </c>
      <c r="C11" s="108">
        <f>IFERROR(lifespans_all!C11*DTE_mission_minutes!C11,"-")</f>
        <v>721.11352444444435</v>
      </c>
      <c r="D11" s="108">
        <f>IFERROR(lifespans_all!D11*DTE_mission_minutes!D11,"-")</f>
        <v>721.11352444444435</v>
      </c>
      <c r="E11" s="108">
        <f>IFERROR(lifespans_all!E11*DTE_mission_minutes!E11,"-")</f>
        <v>721.11352444444435</v>
      </c>
      <c r="F11" s="108">
        <f>IFERROR(lifespans_all!F11*DTE_mission_minutes!F11,"-")</f>
        <v>721.11352444444435</v>
      </c>
      <c r="G11" s="108">
        <f>IFERROR(lifespans_all!G11*DTE_mission_minutes!G11,"-")</f>
        <v>721.11352444444435</v>
      </c>
      <c r="H11" s="108">
        <f>IFERROR(lifespans_all!H11*DTE_mission_minutes!H11,"-")</f>
        <v>721.11352444444435</v>
      </c>
      <c r="I11" s="108">
        <f>IFERROR(lifespans_all!I11*DTE_mission_minutes!I11,"-")</f>
        <v>721.11352444444435</v>
      </c>
      <c r="J11" s="108">
        <f>IFERROR(lifespans_all!J11*DTE_mission_minutes!J11,"-")</f>
        <v>721.11352444444435</v>
      </c>
      <c r="K11" s="108">
        <f>IFERROR(lifespans_all!K11*DTE_mission_minutes!K11,"-")</f>
        <v>721.11352444444435</v>
      </c>
      <c r="L11" s="108">
        <f>IFERROR(lifespans_all!L11*DTE_mission_minutes!L11,"-")</f>
        <v>721.11352444444435</v>
      </c>
      <c r="M11" s="108">
        <f>IFERROR(lifespans_all!M11*DTE_mission_minutes!M11,"-")</f>
        <v>721.11352444444435</v>
      </c>
      <c r="N11" s="108">
        <f>IFERROR(lifespans_all!N11*DTE_mission_minutes!N11,"-")</f>
        <v>721.11352444444435</v>
      </c>
      <c r="O11" s="108">
        <f>IFERROR(lifespans_all!O11*DTE_mission_minutes!O11,"-")</f>
        <v>721.11352444444435</v>
      </c>
      <c r="P11" s="108">
        <f>IFERROR(lifespans_all!P11*DTE_mission_minutes!P11,"-")</f>
        <v>721.11352444444435</v>
      </c>
      <c r="Q11" s="108">
        <f>IFERROR(lifespans_all!Q11*DTE_mission_minutes!Q11,"-")</f>
        <v>721.11352444444435</v>
      </c>
      <c r="R11" s="108">
        <f>IFERROR(lifespans_all!R11*DTE_mission_minutes!R11,"-")</f>
        <v>721.11352444444435</v>
      </c>
      <c r="S11" s="108">
        <f>IFERROR(lifespans_all!S11*DTE_mission_minutes!S11,"-")</f>
        <v>721.11352444444435</v>
      </c>
      <c r="T11" s="108">
        <f>IFERROR(lifespans_all!T11*DTE_mission_minutes!T11,"-")</f>
        <v>721.11352444444435</v>
      </c>
      <c r="U11" s="108">
        <f>IFERROR(lifespans_all!U11*DTE_mission_minutes!U11,"-")</f>
        <v>721.11352444444435</v>
      </c>
      <c r="V11" s="108">
        <f>IFERROR(lifespans_all!V11*DTE_mission_minutes!V11,"-")</f>
        <v>721.11352444444435</v>
      </c>
    </row>
    <row r="12" spans="1:22" x14ac:dyDescent="0.25">
      <c r="A12" s="32" t="s">
        <v>56</v>
      </c>
      <c r="B12" s="39" t="s">
        <v>43</v>
      </c>
      <c r="C12" s="108">
        <f>IFERROR(lifespans_all!C12*DTE_mission_minutes!C12,"-")</f>
        <v>171572.29579277776</v>
      </c>
      <c r="D12" s="108">
        <f>IFERROR(lifespans_all!D12*DTE_mission_minutes!D12,"-")</f>
        <v>171572.29579277776</v>
      </c>
      <c r="E12" s="108">
        <f>IFERROR(lifespans_all!E12*DTE_mission_minutes!E12,"-")</f>
        <v>171572.29579277776</v>
      </c>
      <c r="F12" s="108">
        <f>IFERROR(lifespans_all!F12*DTE_mission_minutes!F12,"-")</f>
        <v>171572.29579277776</v>
      </c>
      <c r="G12" s="108">
        <f>IFERROR(lifespans_all!G12*DTE_mission_minutes!G12,"-")</f>
        <v>171572.29579277776</v>
      </c>
      <c r="H12" s="108">
        <f>IFERROR(lifespans_all!H12*DTE_mission_minutes!H12,"-")</f>
        <v>171572.29579277776</v>
      </c>
      <c r="I12" s="108">
        <f>IFERROR(lifespans_all!I12*DTE_mission_minutes!I12,"-")</f>
        <v>171572.29579277776</v>
      </c>
      <c r="J12" s="108">
        <f>IFERROR(lifespans_all!J12*DTE_mission_minutes!J12,"-")</f>
        <v>171572.29579277776</v>
      </c>
      <c r="K12" s="108">
        <f>IFERROR(lifespans_all!K12*DTE_mission_minutes!K12,"-")</f>
        <v>171572.29579277776</v>
      </c>
      <c r="L12" s="108">
        <f>IFERROR(lifespans_all!L12*DTE_mission_minutes!L12,"-")</f>
        <v>171572.29579277776</v>
      </c>
      <c r="M12" s="108">
        <f>IFERROR(lifespans_all!M12*DTE_mission_minutes!M12,"-")</f>
        <v>171572.29579277776</v>
      </c>
      <c r="N12" s="108">
        <f>IFERROR(lifespans_all!N12*DTE_mission_minutes!N12,"-")</f>
        <v>171572.29579277776</v>
      </c>
      <c r="O12" s="108">
        <f>IFERROR(lifespans_all!O12*DTE_mission_minutes!O12,"-")</f>
        <v>171572.29579277776</v>
      </c>
      <c r="P12" s="108">
        <f>IFERROR(lifespans_all!P12*DTE_mission_minutes!P12,"-")</f>
        <v>171572.29579277776</v>
      </c>
      <c r="Q12" s="108">
        <f>IFERROR(lifespans_all!Q12*DTE_mission_minutes!Q12,"-")</f>
        <v>171572.29579277776</v>
      </c>
      <c r="R12" s="108">
        <f>IFERROR(lifespans_all!R12*DTE_mission_minutes!R12,"-")</f>
        <v>171572.29579277776</v>
      </c>
      <c r="S12" s="108">
        <f>IFERROR(lifespans_all!S12*DTE_mission_minutes!S12,"-")</f>
        <v>171572.29579277776</v>
      </c>
      <c r="T12" s="108">
        <f>IFERROR(lifespans_all!T12*DTE_mission_minutes!T12,"-")</f>
        <v>171572.29579277776</v>
      </c>
      <c r="U12" s="108">
        <f>IFERROR(lifespans_all!U12*DTE_mission_minutes!U12,"-")</f>
        <v>171572.29579277776</v>
      </c>
      <c r="V12" s="108">
        <f>IFERROR(lifespans_all!V12*DTE_mission_minutes!V12,"-")</f>
        <v>171572.29579277776</v>
      </c>
    </row>
    <row r="13" spans="1:22" x14ac:dyDescent="0.25">
      <c r="A13" s="32" t="s">
        <v>66</v>
      </c>
      <c r="B13" s="41" t="s">
        <v>48</v>
      </c>
      <c r="C13" s="108" t="str">
        <f>IFERROR(lifespans_all!C13*DTE_mission_minutes!C13,"-")</f>
        <v>-</v>
      </c>
      <c r="D13" s="108" t="str">
        <f>IFERROR(lifespans_all!D13*DTE_mission_minutes!D13,"-")</f>
        <v>-</v>
      </c>
      <c r="E13" s="108" t="str">
        <f>IFERROR(lifespans_all!E13*DTE_mission_minutes!E13,"-")</f>
        <v>-</v>
      </c>
      <c r="F13" s="108" t="str">
        <f>IFERROR(lifespans_all!F13*DTE_mission_minutes!F13,"-")</f>
        <v>-</v>
      </c>
      <c r="G13" s="108" t="str">
        <f>IFERROR(lifespans_all!G13*DTE_mission_minutes!G13,"-")</f>
        <v>-</v>
      </c>
      <c r="H13" s="108" t="str">
        <f>IFERROR(lifespans_all!H13*DTE_mission_minutes!H13,"-")</f>
        <v>-</v>
      </c>
      <c r="I13" s="108" t="str">
        <f>IFERROR(lifespans_all!I13*DTE_mission_minutes!I13,"-")</f>
        <v>-</v>
      </c>
      <c r="J13" s="108" t="str">
        <f>IFERROR(lifespans_all!J13*DTE_mission_minutes!J13,"-")</f>
        <v>-</v>
      </c>
      <c r="K13" s="108" t="str">
        <f>IFERROR(lifespans_all!K13*DTE_mission_minutes!K13,"-")</f>
        <v>-</v>
      </c>
      <c r="L13" s="108" t="str">
        <f>IFERROR(lifespans_all!L13*DTE_mission_minutes!L13,"-")</f>
        <v>-</v>
      </c>
      <c r="M13" s="108" t="str">
        <f>IFERROR(lifespans_all!M13*DTE_mission_minutes!M13,"-")</f>
        <v>-</v>
      </c>
      <c r="N13" s="108" t="str">
        <f>IFERROR(lifespans_all!N13*DTE_mission_minutes!N13,"-")</f>
        <v>-</v>
      </c>
      <c r="O13" s="108" t="str">
        <f>IFERROR(lifespans_all!O13*DTE_mission_minutes!O13,"-")</f>
        <v>-</v>
      </c>
      <c r="P13" s="108" t="str">
        <f>IFERROR(lifespans_all!P13*DTE_mission_minutes!P13,"-")</f>
        <v>-</v>
      </c>
      <c r="Q13" s="108" t="str">
        <f>IFERROR(lifespans_all!Q13*DTE_mission_minutes!Q13,"-")</f>
        <v>-</v>
      </c>
      <c r="R13" s="108" t="str">
        <f>IFERROR(lifespans_all!R13*DTE_mission_minutes!R13,"-")</f>
        <v>-</v>
      </c>
      <c r="S13" s="108" t="str">
        <f>IFERROR(lifespans_all!S13*DTE_mission_minutes!S13,"-")</f>
        <v>-</v>
      </c>
      <c r="T13" s="108" t="str">
        <f>IFERROR(lifespans_all!T13*DTE_mission_minutes!T13,"-")</f>
        <v>-</v>
      </c>
      <c r="U13" s="108" t="str">
        <f>IFERROR(lifespans_all!U13*DTE_mission_minutes!U13,"-")</f>
        <v>-</v>
      </c>
      <c r="V13" s="108" t="str">
        <f>IFERROR(lifespans_all!V13*DTE_mission_minutes!V13,"-")</f>
        <v>-</v>
      </c>
    </row>
    <row r="14" spans="1:22" x14ac:dyDescent="0.25">
      <c r="A14" s="32" t="s">
        <v>19</v>
      </c>
      <c r="B14" s="33" t="s">
        <v>41</v>
      </c>
      <c r="C14" s="108">
        <f>IFERROR(lifespans_all!C14*DTE_mission_minutes!C14,"-")</f>
        <v>851.36055555555549</v>
      </c>
      <c r="D14" s="108">
        <f>IFERROR(lifespans_all!D14*DTE_mission_minutes!D14,"-")</f>
        <v>921.41561944444436</v>
      </c>
      <c r="E14" s="108">
        <f>IFERROR(lifespans_all!E14*DTE_mission_minutes!E14,"-")</f>
        <v>793.34499999999991</v>
      </c>
      <c r="F14" s="108">
        <f>IFERROR(lifespans_all!F14*DTE_mission_minutes!F14,"-")</f>
        <v>796.60534611111109</v>
      </c>
      <c r="G14" s="108">
        <f>IFERROR(lifespans_all!G14*DTE_mission_minutes!G14,"-")</f>
        <v>796.60534611111109</v>
      </c>
      <c r="H14" s="108">
        <f>IFERROR(lifespans_all!H14*DTE_mission_minutes!H14,"-")</f>
        <v>796.60534611111109</v>
      </c>
      <c r="I14" s="108">
        <f>IFERROR(lifespans_all!I14*DTE_mission_minutes!I14,"-")</f>
        <v>796.60534611111109</v>
      </c>
      <c r="J14" s="108">
        <f>IFERROR(lifespans_all!J14*DTE_mission_minutes!J14,"-")</f>
        <v>0</v>
      </c>
      <c r="K14" s="108">
        <f>IFERROR(lifespans_all!K14*DTE_mission_minutes!K14,"-")</f>
        <v>0</v>
      </c>
      <c r="L14" s="108">
        <f>IFERROR(lifespans_all!L14*DTE_mission_minutes!L14,"-")</f>
        <v>0</v>
      </c>
      <c r="M14" s="108">
        <f>IFERROR(lifespans_all!M14*DTE_mission_minutes!M14,"-")</f>
        <v>0</v>
      </c>
      <c r="N14" s="108">
        <f>IFERROR(lifespans_all!N14*DTE_mission_minutes!N14,"-")</f>
        <v>0</v>
      </c>
      <c r="O14" s="108">
        <f>IFERROR(lifespans_all!O14*DTE_mission_minutes!O14,"-")</f>
        <v>0</v>
      </c>
      <c r="P14" s="108">
        <f>IFERROR(lifespans_all!P14*DTE_mission_minutes!P14,"-")</f>
        <v>0</v>
      </c>
      <c r="Q14" s="108">
        <f>IFERROR(lifespans_all!Q14*DTE_mission_minutes!Q14,"-")</f>
        <v>0</v>
      </c>
      <c r="R14" s="108">
        <f>IFERROR(lifespans_all!R14*DTE_mission_minutes!R14,"-")</f>
        <v>0</v>
      </c>
      <c r="S14" s="108">
        <f>IFERROR(lifespans_all!S14*DTE_mission_minutes!S14,"-")</f>
        <v>0</v>
      </c>
      <c r="T14" s="108">
        <f>IFERROR(lifespans_all!T14*DTE_mission_minutes!T14,"-")</f>
        <v>0</v>
      </c>
      <c r="U14" s="108">
        <f>IFERROR(lifespans_all!U14*DTE_mission_minutes!U14,"-")</f>
        <v>0</v>
      </c>
      <c r="V14" s="108">
        <f>IFERROR(lifespans_all!V14*DTE_mission_minutes!V14,"-")</f>
        <v>0</v>
      </c>
    </row>
    <row r="15" spans="1:22" x14ac:dyDescent="0.25">
      <c r="A15" s="44" t="s">
        <v>67</v>
      </c>
      <c r="B15" s="33" t="s">
        <v>40</v>
      </c>
      <c r="C15" s="108">
        <f>IFERROR(lifespans_all!C15*DTE_mission_minutes!C15,"-")</f>
        <v>2140.4341038095235</v>
      </c>
      <c r="D15" s="108">
        <f>IFERROR(lifespans_all!D15*DTE_mission_minutes!D15,"-")</f>
        <v>2140.4341038095235</v>
      </c>
      <c r="E15" s="108">
        <f>IFERROR(lifespans_all!E15*DTE_mission_minutes!E15,"-")</f>
        <v>2140.4341038095235</v>
      </c>
      <c r="F15" s="108">
        <f>IFERROR(lifespans_all!F15*DTE_mission_minutes!F15,"-")</f>
        <v>2140.4341038095235</v>
      </c>
      <c r="G15" s="108">
        <f>IFERROR(lifespans_all!G15*DTE_mission_minutes!G15,"-")</f>
        <v>2140.4341038095235</v>
      </c>
      <c r="H15" s="108">
        <f>IFERROR(lifespans_all!H15*DTE_mission_minutes!H15,"-")</f>
        <v>2140.4341038095235</v>
      </c>
      <c r="I15" s="108">
        <f>IFERROR(lifespans_all!I15*DTE_mission_minutes!I15,"-")</f>
        <v>2140.4341038095235</v>
      </c>
      <c r="J15" s="108">
        <f>IFERROR(lifespans_all!J15*DTE_mission_minutes!J15,"-")</f>
        <v>2140.4341038095235</v>
      </c>
      <c r="K15" s="108">
        <f>IFERROR(lifespans_all!K15*DTE_mission_minutes!K15,"-")</f>
        <v>2140.4341038095235</v>
      </c>
      <c r="L15" s="108">
        <f>IFERROR(lifespans_all!L15*DTE_mission_minutes!L15,"-")</f>
        <v>2140.4341038095235</v>
      </c>
      <c r="M15" s="108">
        <f>IFERROR(lifespans_all!M15*DTE_mission_minutes!M15,"-")</f>
        <v>2140.4341038095235</v>
      </c>
      <c r="N15" s="108">
        <f>IFERROR(lifespans_all!N15*DTE_mission_minutes!N15,"-")</f>
        <v>2140.4341038095235</v>
      </c>
      <c r="O15" s="108">
        <f>IFERROR(lifespans_all!O15*DTE_mission_minutes!O15,"-")</f>
        <v>2140.4341038095235</v>
      </c>
      <c r="P15" s="108">
        <f>IFERROR(lifespans_all!P15*DTE_mission_minutes!P15,"-")</f>
        <v>2140.4341038095235</v>
      </c>
      <c r="Q15" s="108">
        <f>IFERROR(lifespans_all!Q15*DTE_mission_minutes!Q15,"-")</f>
        <v>2140.4341038095235</v>
      </c>
      <c r="R15" s="108">
        <f>IFERROR(lifespans_all!R15*DTE_mission_minutes!R15,"-")</f>
        <v>2140.4341038095235</v>
      </c>
      <c r="S15" s="108">
        <f>IFERROR(lifespans_all!S15*DTE_mission_minutes!S15,"-")</f>
        <v>2140.4341038095235</v>
      </c>
      <c r="T15" s="108">
        <f>IFERROR(lifespans_all!T15*DTE_mission_minutes!T15,"-")</f>
        <v>2140.4341038095235</v>
      </c>
      <c r="U15" s="108">
        <f>IFERROR(lifespans_all!U15*DTE_mission_minutes!U15,"-")</f>
        <v>2140.4341038095235</v>
      </c>
      <c r="V15" s="108">
        <f>IFERROR(lifespans_all!V15*DTE_mission_minutes!V15,"-")</f>
        <v>2140.4341038095235</v>
      </c>
    </row>
    <row r="16" spans="1:22" x14ac:dyDescent="0.25">
      <c r="A16" s="44" t="s">
        <v>68</v>
      </c>
      <c r="B16" s="33" t="s">
        <v>40</v>
      </c>
      <c r="C16" s="108">
        <f>IFERROR(lifespans_all!C16*DTE_mission_minutes!C16,"-")</f>
        <v>2140.4341038095235</v>
      </c>
      <c r="D16" s="108">
        <f>IFERROR(lifespans_all!D16*DTE_mission_minutes!D16,"-")</f>
        <v>2140.4341038095235</v>
      </c>
      <c r="E16" s="108">
        <f>IFERROR(lifespans_all!E16*DTE_mission_minutes!E16,"-")</f>
        <v>2140.4341038095235</v>
      </c>
      <c r="F16" s="108">
        <f>IFERROR(lifespans_all!F16*DTE_mission_minutes!F16,"-")</f>
        <v>2140.4341038095235</v>
      </c>
      <c r="G16" s="108">
        <f>IFERROR(lifespans_all!G16*DTE_mission_minutes!G16,"-")</f>
        <v>2140.4341038095235</v>
      </c>
      <c r="H16" s="108">
        <f>IFERROR(lifespans_all!H16*DTE_mission_minutes!H16,"-")</f>
        <v>2140.4341038095235</v>
      </c>
      <c r="I16" s="108">
        <f>IFERROR(lifespans_all!I16*DTE_mission_minutes!I16,"-")</f>
        <v>2140.4341038095235</v>
      </c>
      <c r="J16" s="108">
        <f>IFERROR(lifespans_all!J16*DTE_mission_minutes!J16,"-")</f>
        <v>2140.4341038095235</v>
      </c>
      <c r="K16" s="108">
        <f>IFERROR(lifespans_all!K16*DTE_mission_minutes!K16,"-")</f>
        <v>2140.4341038095235</v>
      </c>
      <c r="L16" s="108">
        <f>IFERROR(lifespans_all!L16*DTE_mission_minutes!L16,"-")</f>
        <v>2140.4341038095235</v>
      </c>
      <c r="M16" s="108">
        <f>IFERROR(lifespans_all!M16*DTE_mission_minutes!M16,"-")</f>
        <v>2140.4341038095235</v>
      </c>
      <c r="N16" s="108">
        <f>IFERROR(lifespans_all!N16*DTE_mission_minutes!N16,"-")</f>
        <v>2140.4341038095235</v>
      </c>
      <c r="O16" s="108">
        <f>IFERROR(lifespans_all!O16*DTE_mission_minutes!O16,"-")</f>
        <v>2140.4341038095235</v>
      </c>
      <c r="P16" s="108">
        <f>IFERROR(lifespans_all!P16*DTE_mission_minutes!P16,"-")</f>
        <v>2140.4341038095235</v>
      </c>
      <c r="Q16" s="108">
        <f>IFERROR(lifespans_all!Q16*DTE_mission_minutes!Q16,"-")</f>
        <v>2140.4341038095235</v>
      </c>
      <c r="R16" s="108">
        <f>IFERROR(lifespans_all!R16*DTE_mission_minutes!R16,"-")</f>
        <v>2140.4341038095235</v>
      </c>
      <c r="S16" s="108">
        <f>IFERROR(lifespans_all!S16*DTE_mission_minutes!S16,"-")</f>
        <v>2140.4341038095235</v>
      </c>
      <c r="T16" s="108">
        <f>IFERROR(lifespans_all!T16*DTE_mission_minutes!T16,"-")</f>
        <v>2140.4341038095235</v>
      </c>
      <c r="U16" s="108">
        <f>IFERROR(lifespans_all!U16*DTE_mission_minutes!U16,"-")</f>
        <v>2140.4341038095235</v>
      </c>
      <c r="V16" s="108">
        <f>IFERROR(lifespans_all!V16*DTE_mission_minutes!V16,"-")</f>
        <v>2140.4341038095235</v>
      </c>
    </row>
    <row r="17" spans="1:22" x14ac:dyDescent="0.25">
      <c r="A17" s="44" t="s">
        <v>69</v>
      </c>
      <c r="B17" s="33" t="s">
        <v>40</v>
      </c>
      <c r="C17" s="108">
        <f>IFERROR(lifespans_all!C17*DTE_mission_minutes!C17,"-")</f>
        <v>2140.4341038095235</v>
      </c>
      <c r="D17" s="108">
        <f>IFERROR(lifespans_all!D17*DTE_mission_minutes!D17,"-")</f>
        <v>2140.4341038095235</v>
      </c>
      <c r="E17" s="108">
        <f>IFERROR(lifespans_all!E17*DTE_mission_minutes!E17,"-")</f>
        <v>2140.4341038095235</v>
      </c>
      <c r="F17" s="108">
        <f>IFERROR(lifespans_all!F17*DTE_mission_minutes!F17,"-")</f>
        <v>2140.4341038095235</v>
      </c>
      <c r="G17" s="108">
        <f>IFERROR(lifespans_all!G17*DTE_mission_minutes!G17,"-")</f>
        <v>2140.4341038095235</v>
      </c>
      <c r="H17" s="108">
        <f>IFERROR(lifespans_all!H17*DTE_mission_minutes!H17,"-")</f>
        <v>2140.4341038095235</v>
      </c>
      <c r="I17" s="108">
        <f>IFERROR(lifespans_all!I17*DTE_mission_minutes!I17,"-")</f>
        <v>2140.4341038095235</v>
      </c>
      <c r="J17" s="108">
        <f>IFERROR(lifespans_all!J17*DTE_mission_minutes!J17,"-")</f>
        <v>2140.4341038095235</v>
      </c>
      <c r="K17" s="108">
        <f>IFERROR(lifespans_all!K17*DTE_mission_minutes!K17,"-")</f>
        <v>2140.4341038095235</v>
      </c>
      <c r="L17" s="108">
        <f>IFERROR(lifespans_all!L17*DTE_mission_minutes!L17,"-")</f>
        <v>2140.4341038095235</v>
      </c>
      <c r="M17" s="108">
        <f>IFERROR(lifespans_all!M17*DTE_mission_minutes!M17,"-")</f>
        <v>2140.4341038095235</v>
      </c>
      <c r="N17" s="108">
        <f>IFERROR(lifespans_all!N17*DTE_mission_minutes!N17,"-")</f>
        <v>2140.4341038095235</v>
      </c>
      <c r="O17" s="108">
        <f>IFERROR(lifespans_all!O17*DTE_mission_minutes!O17,"-")</f>
        <v>2140.4341038095235</v>
      </c>
      <c r="P17" s="108">
        <f>IFERROR(lifespans_all!P17*DTE_mission_minutes!P17,"-")</f>
        <v>2140.4341038095235</v>
      </c>
      <c r="Q17" s="108">
        <f>IFERROR(lifespans_all!Q17*DTE_mission_minutes!Q17,"-")</f>
        <v>2140.4341038095235</v>
      </c>
      <c r="R17" s="108">
        <f>IFERROR(lifespans_all!R17*DTE_mission_minutes!R17,"-")</f>
        <v>2140.4341038095235</v>
      </c>
      <c r="S17" s="108">
        <f>IFERROR(lifespans_all!S17*DTE_mission_minutes!S17,"-")</f>
        <v>2140.4341038095235</v>
      </c>
      <c r="T17" s="108">
        <f>IFERROR(lifespans_all!T17*DTE_mission_minutes!T17,"-")</f>
        <v>2140.4341038095235</v>
      </c>
      <c r="U17" s="108">
        <f>IFERROR(lifespans_all!U17*DTE_mission_minutes!U17,"-")</f>
        <v>2140.4341038095235</v>
      </c>
      <c r="V17" s="108">
        <f>IFERROR(lifespans_all!V17*DTE_mission_minutes!V17,"-")</f>
        <v>2140.4341038095235</v>
      </c>
    </row>
    <row r="18" spans="1:22" x14ac:dyDescent="0.25">
      <c r="A18" s="44" t="s">
        <v>70</v>
      </c>
      <c r="B18" s="33" t="s">
        <v>40</v>
      </c>
      <c r="C18" s="108">
        <f>IFERROR(lifespans_all!C18*DTE_mission_minutes!C18,"-")</f>
        <v>2140.4341038095235</v>
      </c>
      <c r="D18" s="108">
        <f>IFERROR(lifespans_all!D18*DTE_mission_minutes!D18,"-")</f>
        <v>2140.4341038095235</v>
      </c>
      <c r="E18" s="108">
        <f>IFERROR(lifespans_all!E18*DTE_mission_minutes!E18,"-")</f>
        <v>2140.4341038095235</v>
      </c>
      <c r="F18" s="108">
        <f>IFERROR(lifespans_all!F18*DTE_mission_minutes!F18,"-")</f>
        <v>2140.4341038095235</v>
      </c>
      <c r="G18" s="108">
        <f>IFERROR(lifespans_all!G18*DTE_mission_minutes!G18,"-")</f>
        <v>2140.4341038095235</v>
      </c>
      <c r="H18" s="108">
        <f>IFERROR(lifespans_all!H18*DTE_mission_minutes!H18,"-")</f>
        <v>2140.4341038095235</v>
      </c>
      <c r="I18" s="108">
        <f>IFERROR(lifespans_all!I18*DTE_mission_minutes!I18,"-")</f>
        <v>2140.4341038095235</v>
      </c>
      <c r="J18" s="108">
        <f>IFERROR(lifespans_all!J18*DTE_mission_minutes!J18,"-")</f>
        <v>2140.4341038095235</v>
      </c>
      <c r="K18" s="108">
        <f>IFERROR(lifespans_all!K18*DTE_mission_minutes!K18,"-")</f>
        <v>2140.4341038095235</v>
      </c>
      <c r="L18" s="108">
        <f>IFERROR(lifespans_all!L18*DTE_mission_minutes!L18,"-")</f>
        <v>2140.4341038095235</v>
      </c>
      <c r="M18" s="108">
        <f>IFERROR(lifespans_all!M18*DTE_mission_minutes!M18,"-")</f>
        <v>2140.4341038095235</v>
      </c>
      <c r="N18" s="108">
        <f>IFERROR(lifespans_all!N18*DTE_mission_minutes!N18,"-")</f>
        <v>2140.4341038095235</v>
      </c>
      <c r="O18" s="108">
        <f>IFERROR(lifespans_all!O18*DTE_mission_minutes!O18,"-")</f>
        <v>2140.4341038095235</v>
      </c>
      <c r="P18" s="108">
        <f>IFERROR(lifespans_all!P18*DTE_mission_minutes!P18,"-")</f>
        <v>2140.4341038095235</v>
      </c>
      <c r="Q18" s="108">
        <f>IFERROR(lifespans_all!Q18*DTE_mission_minutes!Q18,"-")</f>
        <v>2140.4341038095235</v>
      </c>
      <c r="R18" s="108">
        <f>IFERROR(lifespans_all!R18*DTE_mission_minutes!R18,"-")</f>
        <v>2140.4341038095235</v>
      </c>
      <c r="S18" s="108">
        <f>IFERROR(lifespans_all!S18*DTE_mission_minutes!S18,"-")</f>
        <v>2140.4341038095235</v>
      </c>
      <c r="T18" s="108">
        <f>IFERROR(lifespans_all!T18*DTE_mission_minutes!T18,"-")</f>
        <v>2140.4341038095235</v>
      </c>
      <c r="U18" s="108">
        <f>IFERROR(lifespans_all!U18*DTE_mission_minutes!U18,"-")</f>
        <v>2140.4341038095235</v>
      </c>
      <c r="V18" s="108">
        <f>IFERROR(lifespans_all!V18*DTE_mission_minutes!V18,"-")</f>
        <v>2140.4341038095235</v>
      </c>
    </row>
    <row r="19" spans="1:22" x14ac:dyDescent="0.25">
      <c r="A19" s="32" t="s">
        <v>20</v>
      </c>
      <c r="B19" s="33" t="s">
        <v>41</v>
      </c>
      <c r="C19" s="108">
        <f>IFERROR(lifespans_all!C19*DTE_mission_minutes!C19,"-")</f>
        <v>3121.1464916666664</v>
      </c>
      <c r="D19" s="108">
        <f>IFERROR(lifespans_all!D19*DTE_mission_minutes!D19,"-")</f>
        <v>3157.8943527777778</v>
      </c>
      <c r="E19" s="108">
        <f>IFERROR(lifespans_all!E19*DTE_mission_minutes!E19,"-")</f>
        <v>2937.5030555555554</v>
      </c>
      <c r="F19" s="108">
        <f>IFERROR(lifespans_all!F19*DTE_mission_minutes!F19,"-")</f>
        <v>3137.9728877777775</v>
      </c>
      <c r="G19" s="108">
        <f>IFERROR(lifespans_all!G19*DTE_mission_minutes!G19,"-")</f>
        <v>3137.9728877777775</v>
      </c>
      <c r="H19" s="108">
        <f>IFERROR(lifespans_all!H19*DTE_mission_minutes!H19,"-")</f>
        <v>3137.9728877777775</v>
      </c>
      <c r="I19" s="108">
        <f>IFERROR(lifespans_all!I19*DTE_mission_minutes!I19,"-")</f>
        <v>3137.9728877777775</v>
      </c>
      <c r="J19" s="108">
        <f>IFERROR(lifespans_all!J19*DTE_mission_minutes!J19,"-")</f>
        <v>3137.9728877777775</v>
      </c>
      <c r="K19" s="108">
        <f>IFERROR(lifespans_all!K19*DTE_mission_minutes!K19,"-")</f>
        <v>3137.9728877777775</v>
      </c>
      <c r="L19" s="108">
        <f>IFERROR(lifespans_all!L19*DTE_mission_minutes!L19,"-")</f>
        <v>3137.9728877777775</v>
      </c>
      <c r="M19" s="108">
        <f>IFERROR(lifespans_all!M19*DTE_mission_minutes!M19,"-")</f>
        <v>3137.9728877777775</v>
      </c>
      <c r="N19" s="108">
        <f>IFERROR(lifespans_all!N19*DTE_mission_minutes!N19,"-")</f>
        <v>3137.9728877777775</v>
      </c>
      <c r="O19" s="108">
        <f>IFERROR(lifespans_all!O19*DTE_mission_minutes!O19,"-")</f>
        <v>3137.9728877777775</v>
      </c>
      <c r="P19" s="108">
        <f>IFERROR(lifespans_all!P19*DTE_mission_minutes!P19,"-")</f>
        <v>3137.9728877777775</v>
      </c>
      <c r="Q19" s="108">
        <f>IFERROR(lifespans_all!Q19*DTE_mission_minutes!Q19,"-")</f>
        <v>3137.9728877777775</v>
      </c>
      <c r="R19" s="108">
        <f>IFERROR(lifespans_all!R19*DTE_mission_minutes!R19,"-")</f>
        <v>3137.9728877777775</v>
      </c>
      <c r="S19" s="108">
        <f>IFERROR(lifespans_all!S19*DTE_mission_minutes!S19,"-")</f>
        <v>3137.9728877777775</v>
      </c>
      <c r="T19" s="108">
        <f>IFERROR(lifespans_all!T19*DTE_mission_minutes!T19,"-")</f>
        <v>3137.9728877777775</v>
      </c>
      <c r="U19" s="108">
        <f>IFERROR(lifespans_all!U19*DTE_mission_minutes!U19,"-")</f>
        <v>3137.9728877777775</v>
      </c>
      <c r="V19" s="108">
        <f>IFERROR(lifespans_all!V19*DTE_mission_minutes!V19,"-")</f>
        <v>3137.9728877777775</v>
      </c>
    </row>
    <row r="20" spans="1:22" x14ac:dyDescent="0.25">
      <c r="A20" s="32" t="s">
        <v>21</v>
      </c>
      <c r="B20" s="33" t="s">
        <v>41</v>
      </c>
      <c r="C20" s="108">
        <f>IFERROR(lifespans_all!C20*DTE_mission_minutes!C20,"-")</f>
        <v>3653.0924999999997</v>
      </c>
      <c r="D20" s="108">
        <f>IFERROR(lifespans_all!D20*DTE_mission_minutes!D20,"-")</f>
        <v>3468.0533333333337</v>
      </c>
      <c r="E20" s="108">
        <f>IFERROR(lifespans_all!E20*DTE_mission_minutes!E20,"-")</f>
        <v>3224.0014777777778</v>
      </c>
      <c r="F20" s="108">
        <f>IFERROR(lifespans_all!F20*DTE_mission_minutes!F20,"-")</f>
        <v>3454.7784394444448</v>
      </c>
      <c r="G20" s="108">
        <f>IFERROR(lifespans_all!G20*DTE_mission_minutes!G20,"-")</f>
        <v>3454.7784394444448</v>
      </c>
      <c r="H20" s="108">
        <f>IFERROR(lifespans_all!H20*DTE_mission_minutes!H20,"-")</f>
        <v>0</v>
      </c>
      <c r="I20" s="108">
        <f>IFERROR(lifespans_all!I20*DTE_mission_minutes!I20,"-")</f>
        <v>0</v>
      </c>
      <c r="J20" s="108">
        <f>IFERROR(lifespans_all!J20*DTE_mission_minutes!J20,"-")</f>
        <v>0</v>
      </c>
      <c r="K20" s="108">
        <f>IFERROR(lifespans_all!K20*DTE_mission_minutes!K20,"-")</f>
        <v>0</v>
      </c>
      <c r="L20" s="108">
        <f>IFERROR(lifespans_all!L20*DTE_mission_minutes!L20,"-")</f>
        <v>0</v>
      </c>
      <c r="M20" s="108">
        <f>IFERROR(lifespans_all!M20*DTE_mission_minutes!M20,"-")</f>
        <v>0</v>
      </c>
      <c r="N20" s="108">
        <f>IFERROR(lifespans_all!N20*DTE_mission_minutes!N20,"-")</f>
        <v>0</v>
      </c>
      <c r="O20" s="108">
        <f>IFERROR(lifespans_all!O20*DTE_mission_minutes!O20,"-")</f>
        <v>0</v>
      </c>
      <c r="P20" s="108">
        <f>IFERROR(lifespans_all!P20*DTE_mission_minutes!P20,"-")</f>
        <v>0</v>
      </c>
      <c r="Q20" s="108">
        <f>IFERROR(lifespans_all!Q20*DTE_mission_minutes!Q20,"-")</f>
        <v>0</v>
      </c>
      <c r="R20" s="108">
        <f>IFERROR(lifespans_all!R20*DTE_mission_minutes!R20,"-")</f>
        <v>0</v>
      </c>
      <c r="S20" s="108">
        <f>IFERROR(lifespans_all!S20*DTE_mission_minutes!S20,"-")</f>
        <v>0</v>
      </c>
      <c r="T20" s="108">
        <f>IFERROR(lifespans_all!T20*DTE_mission_minutes!T20,"-")</f>
        <v>0</v>
      </c>
      <c r="U20" s="108">
        <f>IFERROR(lifespans_all!U20*DTE_mission_minutes!U20,"-")</f>
        <v>0</v>
      </c>
      <c r="V20" s="108">
        <f>IFERROR(lifespans_all!V20*DTE_mission_minutes!V20,"-")</f>
        <v>0</v>
      </c>
    </row>
    <row r="21" spans="1:22" x14ac:dyDescent="0.25">
      <c r="A21" s="32" t="s">
        <v>24</v>
      </c>
      <c r="B21" s="45" t="s">
        <v>42</v>
      </c>
      <c r="C21" s="108">
        <f>IFERROR(lifespans_all!C21*DTE_mission_minutes!C21,"-")</f>
        <v>0</v>
      </c>
      <c r="D21" s="108">
        <f>IFERROR(lifespans_all!D21*DTE_mission_minutes!D21,"-")</f>
        <v>0</v>
      </c>
      <c r="E21" s="108">
        <f>IFERROR(lifespans_all!E21*DTE_mission_minutes!E21,"-")</f>
        <v>0</v>
      </c>
      <c r="F21" s="108">
        <f>IFERROR(lifespans_all!F21*DTE_mission_minutes!F21,"-")</f>
        <v>0</v>
      </c>
      <c r="G21" s="108">
        <f>IFERROR(lifespans_all!G21*DTE_mission_minutes!G21,"-")</f>
        <v>0</v>
      </c>
      <c r="H21" s="108">
        <f>IFERROR(lifespans_all!H21*DTE_mission_minutes!H21,"-")</f>
        <v>0</v>
      </c>
      <c r="I21" s="108">
        <f>IFERROR(lifespans_all!I21*DTE_mission_minutes!I21,"-")</f>
        <v>0</v>
      </c>
      <c r="J21" s="108">
        <f>IFERROR(lifespans_all!J21*DTE_mission_minutes!J21,"-")</f>
        <v>0</v>
      </c>
      <c r="K21" s="108">
        <f>IFERROR(lifespans_all!K21*DTE_mission_minutes!K21,"-")</f>
        <v>0</v>
      </c>
      <c r="L21" s="108">
        <f>IFERROR(lifespans_all!L21*DTE_mission_minutes!L21,"-")</f>
        <v>0</v>
      </c>
      <c r="M21" s="108">
        <f>IFERROR(lifespans_all!M21*DTE_mission_minutes!M21,"-")</f>
        <v>0</v>
      </c>
      <c r="N21" s="108">
        <f>IFERROR(lifespans_all!N21*DTE_mission_minutes!N21,"-")</f>
        <v>0</v>
      </c>
      <c r="O21" s="108">
        <f>IFERROR(lifespans_all!O21*DTE_mission_minutes!O21,"-")</f>
        <v>0</v>
      </c>
      <c r="P21" s="108">
        <f>IFERROR(lifespans_all!P21*DTE_mission_minutes!P21,"-")</f>
        <v>0</v>
      </c>
      <c r="Q21" s="108">
        <f>IFERROR(lifespans_all!Q21*DTE_mission_minutes!Q21,"-")</f>
        <v>0</v>
      </c>
      <c r="R21" s="108">
        <f>IFERROR(lifespans_all!R21*DTE_mission_minutes!R21,"-")</f>
        <v>0</v>
      </c>
      <c r="S21" s="108">
        <f>IFERROR(lifespans_all!S21*DTE_mission_minutes!S21,"-")</f>
        <v>0</v>
      </c>
      <c r="T21" s="108">
        <f>IFERROR(lifespans_all!T21*DTE_mission_minutes!T21,"-")</f>
        <v>0</v>
      </c>
      <c r="U21" s="108">
        <f>IFERROR(lifespans_all!U21*DTE_mission_minutes!U21,"-")</f>
        <v>0</v>
      </c>
      <c r="V21" s="108">
        <f>IFERROR(lifespans_all!V21*DTE_mission_minutes!V21,"-")</f>
        <v>0</v>
      </c>
    </row>
    <row r="22" spans="1:22" x14ac:dyDescent="0.25">
      <c r="A22" s="32" t="s">
        <v>57</v>
      </c>
      <c r="B22" s="33" t="s">
        <v>41</v>
      </c>
      <c r="C22" s="108">
        <f>IFERROR(lifespans_all!C22*DTE_mission_minutes!C22,"-")</f>
        <v>133409.35004928565</v>
      </c>
      <c r="D22" s="108">
        <f>IFERROR(lifespans_all!D22*DTE_mission_minutes!D22,"-")</f>
        <v>133409.35004928565</v>
      </c>
      <c r="E22" s="108">
        <f>IFERROR(lifespans_all!E22*DTE_mission_minutes!E22,"-")</f>
        <v>133409.35004928565</v>
      </c>
      <c r="F22" s="108">
        <f>IFERROR(lifespans_all!F22*DTE_mission_minutes!F22,"-")</f>
        <v>133409.35004928565</v>
      </c>
      <c r="G22" s="108">
        <f>IFERROR(lifespans_all!G22*DTE_mission_minutes!G22,"-")</f>
        <v>133409.35004928565</v>
      </c>
      <c r="H22" s="108">
        <f>IFERROR(lifespans_all!H22*DTE_mission_minutes!H22,"-")</f>
        <v>0</v>
      </c>
      <c r="I22" s="108">
        <f>IFERROR(lifespans_all!I22*DTE_mission_minutes!I22,"-")</f>
        <v>0</v>
      </c>
      <c r="J22" s="108">
        <f>IFERROR(lifespans_all!J22*DTE_mission_minutes!J22,"-")</f>
        <v>0</v>
      </c>
      <c r="K22" s="108">
        <f>IFERROR(lifespans_all!K22*DTE_mission_minutes!K22,"-")</f>
        <v>0</v>
      </c>
      <c r="L22" s="108">
        <f>IFERROR(lifespans_all!L22*DTE_mission_minutes!L22,"-")</f>
        <v>0</v>
      </c>
      <c r="M22" s="108">
        <f>IFERROR(lifespans_all!M22*DTE_mission_minutes!M22,"-")</f>
        <v>0</v>
      </c>
      <c r="N22" s="108">
        <f>IFERROR(lifespans_all!N22*DTE_mission_minutes!N22,"-")</f>
        <v>0</v>
      </c>
      <c r="O22" s="108">
        <f>IFERROR(lifespans_all!O22*DTE_mission_minutes!O22,"-")</f>
        <v>0</v>
      </c>
      <c r="P22" s="108">
        <f>IFERROR(lifespans_all!P22*DTE_mission_minutes!P22,"-")</f>
        <v>0</v>
      </c>
      <c r="Q22" s="108">
        <f>IFERROR(lifespans_all!Q22*DTE_mission_minutes!Q22,"-")</f>
        <v>0</v>
      </c>
      <c r="R22" s="108">
        <f>IFERROR(lifespans_all!R22*DTE_mission_minutes!R22,"-")</f>
        <v>0</v>
      </c>
      <c r="S22" s="108">
        <f>IFERROR(lifespans_all!S22*DTE_mission_minutes!S22,"-")</f>
        <v>0</v>
      </c>
      <c r="T22" s="108">
        <f>IFERROR(lifespans_all!T22*DTE_mission_minutes!T22,"-")</f>
        <v>0</v>
      </c>
      <c r="U22" s="108">
        <f>IFERROR(lifespans_all!U22*DTE_mission_minutes!U22,"-")</f>
        <v>0</v>
      </c>
      <c r="V22" s="108">
        <f>IFERROR(lifespans_all!V22*DTE_mission_minutes!V22,"-")</f>
        <v>0</v>
      </c>
    </row>
    <row r="23" spans="1:22" x14ac:dyDescent="0.25">
      <c r="A23" s="32" t="s">
        <v>22</v>
      </c>
      <c r="B23" s="33" t="s">
        <v>41</v>
      </c>
      <c r="C23" s="108">
        <f>IFERROR(lifespans_all!C23*DTE_mission_minutes!C23,"-")</f>
        <v>21.986611111111113</v>
      </c>
      <c r="D23" s="108">
        <f>IFERROR(lifespans_all!D23*DTE_mission_minutes!D23,"-")</f>
        <v>1.1333333333333333</v>
      </c>
      <c r="E23" s="108">
        <f>IFERROR(lifespans_all!E23*DTE_mission_minutes!E23,"-")</f>
        <v>3.7333333333333334</v>
      </c>
      <c r="F23" s="108">
        <f>IFERROR(lifespans_all!F23*DTE_mission_minutes!F23,"-")</f>
        <v>23.303841111111115</v>
      </c>
      <c r="G23" s="108">
        <f>IFERROR(lifespans_all!G23*DTE_mission_minutes!G23,"-")</f>
        <v>0</v>
      </c>
      <c r="H23" s="108">
        <f>IFERROR(lifespans_all!H23*DTE_mission_minutes!H23,"-")</f>
        <v>0</v>
      </c>
      <c r="I23" s="108">
        <f>IFERROR(lifespans_all!I23*DTE_mission_minutes!I23,"-")</f>
        <v>0</v>
      </c>
      <c r="J23" s="108">
        <f>IFERROR(lifespans_all!J23*DTE_mission_minutes!J23,"-")</f>
        <v>0</v>
      </c>
      <c r="K23" s="108">
        <f>IFERROR(lifespans_all!K23*DTE_mission_minutes!K23,"-")</f>
        <v>0</v>
      </c>
      <c r="L23" s="108">
        <f>IFERROR(lifespans_all!L23*DTE_mission_minutes!L23,"-")</f>
        <v>0</v>
      </c>
      <c r="M23" s="108">
        <f>IFERROR(lifespans_all!M23*DTE_mission_minutes!M23,"-")</f>
        <v>0</v>
      </c>
      <c r="N23" s="108">
        <f>IFERROR(lifespans_all!N23*DTE_mission_minutes!N23,"-")</f>
        <v>0</v>
      </c>
      <c r="O23" s="108">
        <f>IFERROR(lifespans_all!O23*DTE_mission_minutes!O23,"-")</f>
        <v>0</v>
      </c>
      <c r="P23" s="108">
        <f>IFERROR(lifespans_all!P23*DTE_mission_minutes!P23,"-")</f>
        <v>0</v>
      </c>
      <c r="Q23" s="108">
        <f>IFERROR(lifespans_all!Q23*DTE_mission_minutes!Q23,"-")</f>
        <v>0</v>
      </c>
      <c r="R23" s="108">
        <f>IFERROR(lifespans_all!R23*DTE_mission_minutes!R23,"-")</f>
        <v>0</v>
      </c>
      <c r="S23" s="108">
        <f>IFERROR(lifespans_all!S23*DTE_mission_minutes!S23,"-")</f>
        <v>0</v>
      </c>
      <c r="T23" s="108">
        <f>IFERROR(lifespans_all!T23*DTE_mission_minutes!T23,"-")</f>
        <v>0</v>
      </c>
      <c r="U23" s="108">
        <f>IFERROR(lifespans_all!U23*DTE_mission_minutes!U23,"-")</f>
        <v>0</v>
      </c>
      <c r="V23" s="108">
        <f>IFERROR(lifespans_all!V23*DTE_mission_minutes!V23,"-")</f>
        <v>0</v>
      </c>
    </row>
    <row r="24" spans="1:22" s="63" customFormat="1" x14ac:dyDescent="0.25">
      <c r="A24" s="103" t="s">
        <v>23</v>
      </c>
      <c r="B24" s="104" t="s">
        <v>43</v>
      </c>
      <c r="C24" s="108">
        <f>IFERROR(lifespans_all!C24*DTE_mission_minutes!C24,"-")</f>
        <v>7757.52</v>
      </c>
      <c r="D24" s="108">
        <f>IFERROR(lifespans_all!D24*DTE_mission_minutes!D24,"-")</f>
        <v>7884.0724999999993</v>
      </c>
      <c r="E24" s="108">
        <f>IFERROR(lifespans_all!E24*DTE_mission_minutes!E24,"-")</f>
        <v>7411.0455555555554</v>
      </c>
      <c r="F24" s="108">
        <f>IFERROR(lifespans_all!F24*DTE_mission_minutes!F24,"-")</f>
        <v>7749.4853583333334</v>
      </c>
      <c r="G24" s="108">
        <f>IFERROR(lifespans_all!G24*DTE_mission_minutes!G24,"-")</f>
        <v>7749.4853583333334</v>
      </c>
      <c r="H24" s="108">
        <f>IFERROR(lifespans_all!H24*DTE_mission_minutes!H24,"-")</f>
        <v>7749.4853583333334</v>
      </c>
      <c r="I24" s="108">
        <f>IFERROR(lifespans_all!I24*DTE_mission_minutes!I24,"-")</f>
        <v>7749.4853583333334</v>
      </c>
      <c r="J24" s="108">
        <f>IFERROR(lifespans_all!J24*DTE_mission_minutes!J24,"-")</f>
        <v>7749.4853583333334</v>
      </c>
      <c r="K24" s="108">
        <f>IFERROR(lifespans_all!K24*DTE_mission_minutes!K24,"-")</f>
        <v>7749.4853583333334</v>
      </c>
      <c r="L24" s="108">
        <f>IFERROR(lifespans_all!L24*DTE_mission_minutes!L24,"-")</f>
        <v>7749.4853583333334</v>
      </c>
      <c r="M24" s="108">
        <f>IFERROR(lifespans_all!M24*DTE_mission_minutes!M24,"-")</f>
        <v>0</v>
      </c>
      <c r="N24" s="108">
        <f>IFERROR(lifespans_all!N24*DTE_mission_minutes!N24,"-")</f>
        <v>0</v>
      </c>
      <c r="O24" s="108">
        <f>IFERROR(lifespans_all!O24*DTE_mission_minutes!O24,"-")</f>
        <v>0</v>
      </c>
      <c r="P24" s="108">
        <f>IFERROR(lifespans_all!P24*DTE_mission_minutes!P24,"-")</f>
        <v>0</v>
      </c>
      <c r="Q24" s="108">
        <f>IFERROR(lifespans_all!Q24*DTE_mission_minutes!Q24,"-")</f>
        <v>0</v>
      </c>
      <c r="R24" s="108">
        <f>IFERROR(lifespans_all!R24*DTE_mission_minutes!R24,"-")</f>
        <v>0</v>
      </c>
      <c r="S24" s="108">
        <f>IFERROR(lifespans_all!S24*DTE_mission_minutes!S24,"-")</f>
        <v>0</v>
      </c>
      <c r="T24" s="108">
        <f>IFERROR(lifespans_all!T24*DTE_mission_minutes!T24,"-")</f>
        <v>0</v>
      </c>
      <c r="U24" s="108">
        <f>IFERROR(lifespans_all!U24*DTE_mission_minutes!U24,"-")</f>
        <v>0</v>
      </c>
      <c r="V24" s="108">
        <f>IFERROR(lifespans_all!V24*DTE_mission_minutes!V24,"-")</f>
        <v>0</v>
      </c>
    </row>
    <row r="25" spans="1:22" x14ac:dyDescent="0.25">
      <c r="A25" s="32" t="s">
        <v>25</v>
      </c>
      <c r="B25" s="33" t="s">
        <v>44</v>
      </c>
      <c r="C25" s="108">
        <f>IFERROR(lifespans_all!C25*DTE_mission_minutes!C25,"-")</f>
        <v>0</v>
      </c>
      <c r="D25" s="108">
        <f>IFERROR(lifespans_all!D25*DTE_mission_minutes!D25,"-")</f>
        <v>0</v>
      </c>
      <c r="E25" s="108">
        <f>IFERROR(lifespans_all!E25*DTE_mission_minutes!E25,"-")</f>
        <v>0</v>
      </c>
      <c r="F25" s="108">
        <f>IFERROR(lifespans_all!F25*DTE_mission_minutes!F25,"-")</f>
        <v>0</v>
      </c>
      <c r="G25" s="108">
        <f>IFERROR(lifespans_all!G25*DTE_mission_minutes!G25,"-")</f>
        <v>0</v>
      </c>
      <c r="H25" s="108">
        <f>IFERROR(lifespans_all!H25*DTE_mission_minutes!H25,"-")</f>
        <v>0</v>
      </c>
      <c r="I25" s="108">
        <f>IFERROR(lifespans_all!I25*DTE_mission_minutes!I25,"-")</f>
        <v>0</v>
      </c>
      <c r="J25" s="108">
        <f>IFERROR(lifespans_all!J25*DTE_mission_minutes!J25,"-")</f>
        <v>0</v>
      </c>
      <c r="K25" s="108">
        <f>IFERROR(lifespans_all!K25*DTE_mission_minutes!K25,"-")</f>
        <v>0</v>
      </c>
      <c r="L25" s="108">
        <f>IFERROR(lifespans_all!L25*DTE_mission_minutes!L25,"-")</f>
        <v>0</v>
      </c>
      <c r="M25" s="108">
        <f>IFERROR(lifespans_all!M25*DTE_mission_minutes!M25,"-")</f>
        <v>0</v>
      </c>
      <c r="N25" s="108">
        <f>IFERROR(lifespans_all!N25*DTE_mission_minutes!N25,"-")</f>
        <v>0</v>
      </c>
      <c r="O25" s="108">
        <f>IFERROR(lifespans_all!O25*DTE_mission_minutes!O25,"-")</f>
        <v>0</v>
      </c>
      <c r="P25" s="108">
        <f>IFERROR(lifespans_all!P25*DTE_mission_minutes!P25,"-")</f>
        <v>0</v>
      </c>
      <c r="Q25" s="108">
        <f>IFERROR(lifespans_all!Q25*DTE_mission_minutes!Q25,"-")</f>
        <v>0</v>
      </c>
      <c r="R25" s="108">
        <f>IFERROR(lifespans_all!R25*DTE_mission_minutes!R25,"-")</f>
        <v>0</v>
      </c>
      <c r="S25" s="108">
        <f>IFERROR(lifespans_all!S25*DTE_mission_minutes!S25,"-")</f>
        <v>0</v>
      </c>
      <c r="T25" s="108">
        <f>IFERROR(lifespans_all!T25*DTE_mission_minutes!T25,"-")</f>
        <v>0</v>
      </c>
      <c r="U25" s="108">
        <f>IFERROR(lifespans_all!U25*DTE_mission_minutes!U25,"-")</f>
        <v>0</v>
      </c>
      <c r="V25" s="108">
        <f>IFERROR(lifespans_all!V25*DTE_mission_minutes!V25,"-")</f>
        <v>0</v>
      </c>
    </row>
    <row r="26" spans="1:22" x14ac:dyDescent="0.25">
      <c r="A26" s="32" t="s">
        <v>58</v>
      </c>
      <c r="B26" s="33" t="s">
        <v>41</v>
      </c>
      <c r="C26" s="108">
        <f>IFERROR(lifespans_all!C26*DTE_mission_minutes!C26,"-")</f>
        <v>133409.35004928565</v>
      </c>
      <c r="D26" s="108">
        <f>IFERROR(lifespans_all!D26*DTE_mission_minutes!D26,"-")</f>
        <v>0</v>
      </c>
      <c r="E26" s="108">
        <f>IFERROR(lifespans_all!E26*DTE_mission_minutes!E26,"-")</f>
        <v>0</v>
      </c>
      <c r="F26" s="108">
        <f>IFERROR(lifespans_all!F26*DTE_mission_minutes!F26,"-")</f>
        <v>0</v>
      </c>
      <c r="G26" s="108">
        <f>IFERROR(lifespans_all!G26*DTE_mission_minutes!G26,"-")</f>
        <v>0</v>
      </c>
      <c r="H26" s="108">
        <f>IFERROR(lifespans_all!H26*DTE_mission_minutes!H26,"-")</f>
        <v>0</v>
      </c>
      <c r="I26" s="108">
        <f>IFERROR(lifespans_all!I26*DTE_mission_minutes!I26,"-")</f>
        <v>0</v>
      </c>
      <c r="J26" s="108">
        <f>IFERROR(lifespans_all!J26*DTE_mission_minutes!J26,"-")</f>
        <v>0</v>
      </c>
      <c r="K26" s="108">
        <f>IFERROR(lifespans_all!K26*DTE_mission_minutes!K26,"-")</f>
        <v>0</v>
      </c>
      <c r="L26" s="108">
        <f>IFERROR(lifespans_all!L26*DTE_mission_minutes!L26,"-")</f>
        <v>0</v>
      </c>
      <c r="M26" s="108">
        <f>IFERROR(lifespans_all!M26*DTE_mission_minutes!M26,"-")</f>
        <v>0</v>
      </c>
      <c r="N26" s="108">
        <f>IFERROR(lifespans_all!N26*DTE_mission_minutes!N26,"-")</f>
        <v>0</v>
      </c>
      <c r="O26" s="108">
        <f>IFERROR(lifespans_all!O26*DTE_mission_minutes!O26,"-")</f>
        <v>0</v>
      </c>
      <c r="P26" s="108">
        <f>IFERROR(lifespans_all!P26*DTE_mission_minutes!P26,"-")</f>
        <v>0</v>
      </c>
      <c r="Q26" s="108">
        <f>IFERROR(lifespans_all!Q26*DTE_mission_minutes!Q26,"-")</f>
        <v>0</v>
      </c>
      <c r="R26" s="108">
        <f>IFERROR(lifespans_all!R26*DTE_mission_minutes!R26,"-")</f>
        <v>0</v>
      </c>
      <c r="S26" s="108">
        <f>IFERROR(lifespans_all!S26*DTE_mission_minutes!S26,"-")</f>
        <v>0</v>
      </c>
      <c r="T26" s="108">
        <f>IFERROR(lifespans_all!T26*DTE_mission_minutes!T26,"-")</f>
        <v>0</v>
      </c>
      <c r="U26" s="108">
        <f>IFERROR(lifespans_all!U26*DTE_mission_minutes!U26,"-")</f>
        <v>0</v>
      </c>
      <c r="V26" s="108">
        <f>IFERROR(lifespans_all!V26*DTE_mission_minutes!V26,"-")</f>
        <v>0</v>
      </c>
    </row>
    <row r="27" spans="1:22" x14ac:dyDescent="0.25">
      <c r="A27" s="32" t="s">
        <v>59</v>
      </c>
      <c r="B27" s="33" t="s">
        <v>41</v>
      </c>
      <c r="C27" s="108">
        <f>IFERROR(lifespans_all!C27*DTE_mission_minutes!C27,"-")</f>
        <v>133409.35004928565</v>
      </c>
      <c r="D27" s="108">
        <f>IFERROR(lifespans_all!D27*DTE_mission_minutes!D27,"-")</f>
        <v>133409.35004928565</v>
      </c>
      <c r="E27" s="108">
        <f>IFERROR(lifespans_all!E27*DTE_mission_minutes!E27,"-")</f>
        <v>133409.35004928565</v>
      </c>
      <c r="F27" s="108">
        <f>IFERROR(lifespans_all!F27*DTE_mission_minutes!F27,"-")</f>
        <v>0</v>
      </c>
      <c r="G27" s="108">
        <f>IFERROR(lifespans_all!G27*DTE_mission_minutes!G27,"-")</f>
        <v>0</v>
      </c>
      <c r="H27" s="108">
        <f>IFERROR(lifespans_all!H27*DTE_mission_minutes!H27,"-")</f>
        <v>0</v>
      </c>
      <c r="I27" s="108">
        <f>IFERROR(lifespans_all!I27*DTE_mission_minutes!I27,"-")</f>
        <v>0</v>
      </c>
      <c r="J27" s="108">
        <f>IFERROR(lifespans_all!J27*DTE_mission_minutes!J27,"-")</f>
        <v>0</v>
      </c>
      <c r="K27" s="108">
        <f>IFERROR(lifespans_all!K27*DTE_mission_minutes!K27,"-")</f>
        <v>0</v>
      </c>
      <c r="L27" s="108">
        <f>IFERROR(lifespans_all!L27*DTE_mission_minutes!L27,"-")</f>
        <v>0</v>
      </c>
      <c r="M27" s="108">
        <f>IFERROR(lifespans_all!M27*DTE_mission_minutes!M27,"-")</f>
        <v>0</v>
      </c>
      <c r="N27" s="108">
        <f>IFERROR(lifespans_all!N27*DTE_mission_minutes!N27,"-")</f>
        <v>0</v>
      </c>
      <c r="O27" s="108">
        <f>IFERROR(lifespans_all!O27*DTE_mission_minutes!O27,"-")</f>
        <v>0</v>
      </c>
      <c r="P27" s="108">
        <f>IFERROR(lifespans_all!P27*DTE_mission_minutes!P27,"-")</f>
        <v>0</v>
      </c>
      <c r="Q27" s="108">
        <f>IFERROR(lifespans_all!Q27*DTE_mission_minutes!Q27,"-")</f>
        <v>0</v>
      </c>
      <c r="R27" s="108">
        <f>IFERROR(lifespans_all!R27*DTE_mission_minutes!R27,"-")</f>
        <v>0</v>
      </c>
      <c r="S27" s="108">
        <f>IFERROR(lifespans_all!S27*DTE_mission_minutes!S27,"-")</f>
        <v>0</v>
      </c>
      <c r="T27" s="108">
        <f>IFERROR(lifespans_all!T27*DTE_mission_minutes!T27,"-")</f>
        <v>0</v>
      </c>
      <c r="U27" s="108">
        <f>IFERROR(lifespans_all!U27*DTE_mission_minutes!U27,"-")</f>
        <v>0</v>
      </c>
      <c r="V27" s="108">
        <f>IFERROR(lifespans_all!V27*DTE_mission_minutes!V27,"-")</f>
        <v>0</v>
      </c>
    </row>
    <row r="28" spans="1:22" x14ac:dyDescent="0.25">
      <c r="A28" s="32" t="s">
        <v>60</v>
      </c>
      <c r="B28" s="33" t="s">
        <v>41</v>
      </c>
      <c r="C28" s="108">
        <f>IFERROR(lifespans_all!C28*DTE_mission_minutes!C28,"-")</f>
        <v>133409.35004928565</v>
      </c>
      <c r="D28" s="108">
        <f>IFERROR(lifespans_all!D28*DTE_mission_minutes!D28,"-")</f>
        <v>133409.35004928565</v>
      </c>
      <c r="E28" s="108">
        <f>IFERROR(lifespans_all!E28*DTE_mission_minutes!E28,"-")</f>
        <v>133409.35004928565</v>
      </c>
      <c r="F28" s="108">
        <f>IFERROR(lifespans_all!F28*DTE_mission_minutes!F28,"-")</f>
        <v>133409.35004928565</v>
      </c>
      <c r="G28" s="108">
        <f>IFERROR(lifespans_all!G28*DTE_mission_minutes!G28,"-")</f>
        <v>133409.35004928565</v>
      </c>
      <c r="H28" s="108">
        <f>IFERROR(lifespans_all!H28*DTE_mission_minutes!H28,"-")</f>
        <v>133409.35004928565</v>
      </c>
      <c r="I28" s="108">
        <f>IFERROR(lifespans_all!I28*DTE_mission_minutes!I28,"-")</f>
        <v>0</v>
      </c>
      <c r="J28" s="108">
        <f>IFERROR(lifespans_all!J28*DTE_mission_minutes!J28,"-")</f>
        <v>0</v>
      </c>
      <c r="K28" s="108">
        <f>IFERROR(lifespans_all!K28*DTE_mission_minutes!K28,"-")</f>
        <v>0</v>
      </c>
      <c r="L28" s="108">
        <f>IFERROR(lifespans_all!L28*DTE_mission_minutes!L28,"-")</f>
        <v>0</v>
      </c>
      <c r="M28" s="108">
        <f>IFERROR(lifespans_all!M28*DTE_mission_minutes!M28,"-")</f>
        <v>0</v>
      </c>
      <c r="N28" s="108">
        <f>IFERROR(lifespans_all!N28*DTE_mission_minutes!N28,"-")</f>
        <v>0</v>
      </c>
      <c r="O28" s="108">
        <f>IFERROR(lifespans_all!O28*DTE_mission_minutes!O28,"-")</f>
        <v>0</v>
      </c>
      <c r="P28" s="108">
        <f>IFERROR(lifespans_all!P28*DTE_mission_minutes!P28,"-")</f>
        <v>0</v>
      </c>
      <c r="Q28" s="108">
        <f>IFERROR(lifespans_all!Q28*DTE_mission_minutes!Q28,"-")</f>
        <v>0</v>
      </c>
      <c r="R28" s="108">
        <f>IFERROR(lifespans_all!R28*DTE_mission_minutes!R28,"-")</f>
        <v>0</v>
      </c>
      <c r="S28" s="108">
        <f>IFERROR(lifespans_all!S28*DTE_mission_minutes!S28,"-")</f>
        <v>0</v>
      </c>
      <c r="T28" s="108">
        <f>IFERROR(lifespans_all!T28*DTE_mission_minutes!T28,"-")</f>
        <v>0</v>
      </c>
      <c r="U28" s="108">
        <f>IFERROR(lifespans_all!U28*DTE_mission_minutes!U28,"-")</f>
        <v>0</v>
      </c>
      <c r="V28" s="108">
        <f>IFERROR(lifespans_all!V28*DTE_mission_minutes!V28,"-")</f>
        <v>0</v>
      </c>
    </row>
    <row r="29" spans="1:22" x14ac:dyDescent="0.25">
      <c r="A29" s="32" t="s">
        <v>26</v>
      </c>
      <c r="B29" s="40" t="s">
        <v>45</v>
      </c>
      <c r="C29" s="108">
        <f>IFERROR(lifespans_all!C29*DTE_mission_minutes!C29,"-")</f>
        <v>89453.837836666688</v>
      </c>
      <c r="D29" s="108">
        <f>IFERROR(lifespans_all!D29*DTE_mission_minutes!D29,"-")</f>
        <v>89453.837836666688</v>
      </c>
      <c r="E29" s="108">
        <f>IFERROR(lifespans_all!E29*DTE_mission_minutes!E29,"-")</f>
        <v>89453.837836666688</v>
      </c>
      <c r="F29" s="108">
        <f>IFERROR(lifespans_all!F29*DTE_mission_minutes!F29,"-")</f>
        <v>89453.837836666688</v>
      </c>
      <c r="G29" s="108">
        <f>IFERROR(lifespans_all!G29*DTE_mission_minutes!G29,"-")</f>
        <v>89453.837836666688</v>
      </c>
      <c r="H29" s="108">
        <f>IFERROR(lifespans_all!H29*DTE_mission_minutes!H29,"-")</f>
        <v>89453.837836666688</v>
      </c>
      <c r="I29" s="108">
        <f>IFERROR(lifespans_all!I29*DTE_mission_minutes!I29,"-")</f>
        <v>89453.837836666688</v>
      </c>
      <c r="J29" s="108">
        <f>IFERROR(lifespans_all!J29*DTE_mission_minutes!J29,"-")</f>
        <v>89453.837836666688</v>
      </c>
      <c r="K29" s="108">
        <f>IFERROR(lifespans_all!K29*DTE_mission_minutes!K29,"-")</f>
        <v>89453.837836666688</v>
      </c>
      <c r="L29" s="108">
        <f>IFERROR(lifespans_all!L29*DTE_mission_minutes!L29,"-")</f>
        <v>89453.837836666688</v>
      </c>
      <c r="M29" s="108">
        <f>IFERROR(lifespans_all!M29*DTE_mission_minutes!M29,"-")</f>
        <v>89453.837836666688</v>
      </c>
      <c r="N29" s="108">
        <f>IFERROR(lifespans_all!N29*DTE_mission_minutes!N29,"-")</f>
        <v>89453.837836666688</v>
      </c>
      <c r="O29" s="108">
        <f>IFERROR(lifespans_all!O29*DTE_mission_minutes!O29,"-")</f>
        <v>89453.837836666688</v>
      </c>
      <c r="P29" s="108">
        <f>IFERROR(lifespans_all!P29*DTE_mission_minutes!P29,"-")</f>
        <v>89453.837836666688</v>
      </c>
      <c r="Q29" s="108">
        <f>IFERROR(lifespans_all!Q29*DTE_mission_minutes!Q29,"-")</f>
        <v>89453.837836666688</v>
      </c>
      <c r="R29" s="108">
        <f>IFERROR(lifespans_all!R29*DTE_mission_minutes!R29,"-")</f>
        <v>89453.837836666688</v>
      </c>
      <c r="S29" s="108">
        <f>IFERROR(lifespans_all!S29*DTE_mission_minutes!S29,"-")</f>
        <v>89453.837836666688</v>
      </c>
      <c r="T29" s="108">
        <f>IFERROR(lifespans_all!T29*DTE_mission_minutes!T29,"-")</f>
        <v>89453.837836666688</v>
      </c>
      <c r="U29" s="108">
        <f>IFERROR(lifespans_all!U29*DTE_mission_minutes!U29,"-")</f>
        <v>89453.837836666688</v>
      </c>
      <c r="V29" s="108">
        <f>IFERROR(lifespans_all!V29*DTE_mission_minutes!V29,"-")</f>
        <v>89453.837836666688</v>
      </c>
    </row>
    <row r="30" spans="1:22" x14ac:dyDescent="0.25">
      <c r="A30" s="32" t="s">
        <v>61</v>
      </c>
      <c r="B30" s="40" t="s">
        <v>42</v>
      </c>
      <c r="C30" s="108">
        <f>IFERROR(lifespans_all!C30*DTE_mission_minutes!C30,"-")</f>
        <v>721.11352444444435</v>
      </c>
      <c r="D30" s="108">
        <f>IFERROR(lifespans_all!D30*DTE_mission_minutes!D30,"-")</f>
        <v>721.11352444444435</v>
      </c>
      <c r="E30" s="108">
        <f>IFERROR(lifespans_all!E30*DTE_mission_minutes!E30,"-")</f>
        <v>721.11352444444435</v>
      </c>
      <c r="F30" s="108">
        <f>IFERROR(lifespans_all!F30*DTE_mission_minutes!F30,"-")</f>
        <v>721.11352444444435</v>
      </c>
      <c r="G30" s="108">
        <f>IFERROR(lifespans_all!G30*DTE_mission_minutes!G30,"-")</f>
        <v>721.11352444444435</v>
      </c>
      <c r="H30" s="108">
        <f>IFERROR(lifespans_all!H30*DTE_mission_minutes!H30,"-")</f>
        <v>721.11352444444435</v>
      </c>
      <c r="I30" s="108">
        <f>IFERROR(lifespans_all!I30*DTE_mission_minutes!I30,"-")</f>
        <v>721.11352444444435</v>
      </c>
      <c r="J30" s="108">
        <f>IFERROR(lifespans_all!J30*DTE_mission_minutes!J30,"-")</f>
        <v>721.11352444444435</v>
      </c>
      <c r="K30" s="108">
        <f>IFERROR(lifespans_all!K30*DTE_mission_minutes!K30,"-")</f>
        <v>721.11352444444435</v>
      </c>
      <c r="L30" s="108">
        <f>IFERROR(lifespans_all!L30*DTE_mission_minutes!L30,"-")</f>
        <v>721.11352444444435</v>
      </c>
      <c r="M30" s="108">
        <f>IFERROR(lifespans_all!M30*DTE_mission_minutes!M30,"-")</f>
        <v>721.11352444444435</v>
      </c>
      <c r="N30" s="108">
        <f>IFERROR(lifespans_all!N30*DTE_mission_minutes!N30,"-")</f>
        <v>721.11352444444435</v>
      </c>
      <c r="O30" s="108">
        <f>IFERROR(lifespans_all!O30*DTE_mission_minutes!O30,"-")</f>
        <v>721.11352444444435</v>
      </c>
      <c r="P30" s="108">
        <f>IFERROR(lifespans_all!P30*DTE_mission_minutes!P30,"-")</f>
        <v>721.11352444444435</v>
      </c>
      <c r="Q30" s="108">
        <f>IFERROR(lifespans_all!Q30*DTE_mission_minutes!Q30,"-")</f>
        <v>721.11352444444435</v>
      </c>
      <c r="R30" s="108">
        <f>IFERROR(lifespans_all!R30*DTE_mission_minutes!R30,"-")</f>
        <v>721.11352444444435</v>
      </c>
      <c r="S30" s="108">
        <f>IFERROR(lifespans_all!S30*DTE_mission_minutes!S30,"-")</f>
        <v>721.11352444444435</v>
      </c>
      <c r="T30" s="108">
        <f>IFERROR(lifespans_all!T30*DTE_mission_minutes!T30,"-")</f>
        <v>721.11352444444435</v>
      </c>
      <c r="U30" s="108">
        <f>IFERROR(lifespans_all!U30*DTE_mission_minutes!U30,"-")</f>
        <v>721.11352444444435</v>
      </c>
      <c r="V30" s="108">
        <f>IFERROR(lifespans_all!V30*DTE_mission_minutes!V30,"-")</f>
        <v>721.11352444444435</v>
      </c>
    </row>
    <row r="31" spans="1:22" x14ac:dyDescent="0.25">
      <c r="A31" s="32" t="s">
        <v>71</v>
      </c>
      <c r="B31" s="33" t="s">
        <v>40</v>
      </c>
      <c r="C31" s="108">
        <f>IFERROR(lifespans_all!C31*DTE_mission_minutes!C31,"-")</f>
        <v>221.29177222222222</v>
      </c>
      <c r="D31" s="108">
        <f>IFERROR(lifespans_all!D31*DTE_mission_minutes!D31,"-")</f>
        <v>244.03194444444446</v>
      </c>
      <c r="E31" s="108">
        <f>IFERROR(lifespans_all!E31*DTE_mission_minutes!E31,"-")</f>
        <v>0</v>
      </c>
      <c r="F31" s="108">
        <f>IFERROR(lifespans_all!F31*DTE_mission_minutes!F31,"-")</f>
        <v>0</v>
      </c>
      <c r="G31" s="108">
        <f>IFERROR(lifespans_all!G31*DTE_mission_minutes!G31,"-")</f>
        <v>0</v>
      </c>
      <c r="H31" s="108">
        <f>IFERROR(lifespans_all!H31*DTE_mission_minutes!H31,"-")</f>
        <v>0</v>
      </c>
      <c r="I31" s="108">
        <f>IFERROR(lifespans_all!I31*DTE_mission_minutes!I31,"-")</f>
        <v>0</v>
      </c>
      <c r="J31" s="108">
        <f>IFERROR(lifespans_all!J31*DTE_mission_minutes!J31,"-")</f>
        <v>0</v>
      </c>
      <c r="K31" s="108">
        <f>IFERROR(lifespans_all!K31*DTE_mission_minutes!K31,"-")</f>
        <v>0</v>
      </c>
      <c r="L31" s="108">
        <f>IFERROR(lifespans_all!L31*DTE_mission_minutes!L31,"-")</f>
        <v>0</v>
      </c>
      <c r="M31" s="108">
        <f>IFERROR(lifespans_all!M31*DTE_mission_minutes!M31,"-")</f>
        <v>0</v>
      </c>
      <c r="N31" s="108">
        <f>IFERROR(lifespans_all!N31*DTE_mission_minutes!N31,"-")</f>
        <v>0</v>
      </c>
      <c r="O31" s="108">
        <f>IFERROR(lifespans_all!O31*DTE_mission_minutes!O31,"-")</f>
        <v>0</v>
      </c>
      <c r="P31" s="108">
        <f>IFERROR(lifespans_all!P31*DTE_mission_minutes!P31,"-")</f>
        <v>0</v>
      </c>
      <c r="Q31" s="108">
        <f>IFERROR(lifespans_all!Q31*DTE_mission_minutes!Q31,"-")</f>
        <v>0</v>
      </c>
      <c r="R31" s="108">
        <f>IFERROR(lifespans_all!R31*DTE_mission_minutes!R31,"-")</f>
        <v>0</v>
      </c>
      <c r="S31" s="108">
        <f>IFERROR(lifespans_all!S31*DTE_mission_minutes!S31,"-")</f>
        <v>0</v>
      </c>
      <c r="T31" s="108">
        <f>IFERROR(lifespans_all!T31*DTE_mission_minutes!T31,"-")</f>
        <v>0</v>
      </c>
      <c r="U31" s="108">
        <f>IFERROR(lifespans_all!U31*DTE_mission_minutes!U31,"-")</f>
        <v>0</v>
      </c>
      <c r="V31" s="108">
        <f>IFERROR(lifespans_all!V31*DTE_mission_minutes!V31,"-")</f>
        <v>0</v>
      </c>
    </row>
    <row r="32" spans="1:22" x14ac:dyDescent="0.25">
      <c r="A32" s="32" t="s">
        <v>27</v>
      </c>
      <c r="B32" s="40" t="s">
        <v>45</v>
      </c>
      <c r="C32" s="108">
        <f>IFERROR(lifespans_all!C32*DTE_mission_minutes!C32,"-")</f>
        <v>64.996111111111119</v>
      </c>
      <c r="D32" s="108">
        <f>IFERROR(lifespans_all!D32*DTE_mission_minutes!D32,"-")</f>
        <v>0</v>
      </c>
      <c r="E32" s="108">
        <f>IFERROR(lifespans_all!E32*DTE_mission_minutes!E32,"-")</f>
        <v>0</v>
      </c>
      <c r="F32" s="108">
        <f>IFERROR(lifespans_all!F32*DTE_mission_minutes!F32,"-")</f>
        <v>0</v>
      </c>
      <c r="G32" s="108">
        <f>IFERROR(lifespans_all!G32*DTE_mission_minutes!G32,"-")</f>
        <v>0</v>
      </c>
      <c r="H32" s="108">
        <f>IFERROR(lifespans_all!H32*DTE_mission_minutes!H32,"-")</f>
        <v>0</v>
      </c>
      <c r="I32" s="108">
        <f>IFERROR(lifespans_all!I32*DTE_mission_minutes!I32,"-")</f>
        <v>0</v>
      </c>
      <c r="J32" s="108">
        <f>IFERROR(lifespans_all!J32*DTE_mission_minutes!J32,"-")</f>
        <v>0</v>
      </c>
      <c r="K32" s="108">
        <f>IFERROR(lifespans_all!K32*DTE_mission_minutes!K32,"-")</f>
        <v>0</v>
      </c>
      <c r="L32" s="108">
        <f>IFERROR(lifespans_all!L32*DTE_mission_minutes!L32,"-")</f>
        <v>0</v>
      </c>
      <c r="M32" s="108">
        <f>IFERROR(lifespans_all!M32*DTE_mission_minutes!M32,"-")</f>
        <v>0</v>
      </c>
      <c r="N32" s="108">
        <f>IFERROR(lifespans_all!N32*DTE_mission_minutes!N32,"-")</f>
        <v>0</v>
      </c>
      <c r="O32" s="108">
        <f>IFERROR(lifespans_all!O32*DTE_mission_minutes!O32,"-")</f>
        <v>0</v>
      </c>
      <c r="P32" s="108">
        <f>IFERROR(lifespans_all!P32*DTE_mission_minutes!P32,"-")</f>
        <v>0</v>
      </c>
      <c r="Q32" s="108">
        <f>IFERROR(lifespans_all!Q32*DTE_mission_minutes!Q32,"-")</f>
        <v>0</v>
      </c>
      <c r="R32" s="108">
        <f>IFERROR(lifespans_all!R32*DTE_mission_minutes!R32,"-")</f>
        <v>0</v>
      </c>
      <c r="S32" s="108">
        <f>IFERROR(lifespans_all!S32*DTE_mission_minutes!S32,"-")</f>
        <v>0</v>
      </c>
      <c r="T32" s="108">
        <f>IFERROR(lifespans_all!T32*DTE_mission_minutes!T32,"-")</f>
        <v>0</v>
      </c>
      <c r="U32" s="108">
        <f>IFERROR(lifespans_all!U32*DTE_mission_minutes!U32,"-")</f>
        <v>0</v>
      </c>
      <c r="V32" s="108">
        <f>IFERROR(lifespans_all!V32*DTE_mission_minutes!V32,"-")</f>
        <v>0</v>
      </c>
    </row>
    <row r="33" spans="1:22" x14ac:dyDescent="0.25">
      <c r="A33" s="32" t="s">
        <v>39</v>
      </c>
      <c r="B33" s="33" t="s">
        <v>41</v>
      </c>
      <c r="C33" s="108">
        <f>IFERROR(lifespans_all!C33*DTE_mission_minutes!C33,"-")</f>
        <v>575.81194444444441</v>
      </c>
      <c r="D33" s="108">
        <f>IFERROR(lifespans_all!D33*DTE_mission_minutes!D33,"-")</f>
        <v>580.59861111111104</v>
      </c>
      <c r="E33" s="108">
        <f>IFERROR(lifespans_all!E33*DTE_mission_minutes!E33,"-")</f>
        <v>499.24888888888893</v>
      </c>
      <c r="F33" s="108">
        <f>IFERROR(lifespans_all!F33*DTE_mission_minutes!F33,"-")</f>
        <v>565.82727777777768</v>
      </c>
      <c r="G33" s="108">
        <f>IFERROR(lifespans_all!G33*DTE_mission_minutes!G33,"-")</f>
        <v>0</v>
      </c>
      <c r="H33" s="108">
        <f>IFERROR(lifespans_all!H33*DTE_mission_minutes!H33,"-")</f>
        <v>0</v>
      </c>
      <c r="I33" s="108">
        <f>IFERROR(lifespans_all!I33*DTE_mission_minutes!I33,"-")</f>
        <v>0</v>
      </c>
      <c r="J33" s="108">
        <f>IFERROR(lifespans_all!J33*DTE_mission_minutes!J33,"-")</f>
        <v>0</v>
      </c>
      <c r="K33" s="108">
        <f>IFERROR(lifespans_all!K33*DTE_mission_minutes!K33,"-")</f>
        <v>0</v>
      </c>
      <c r="L33" s="108">
        <f>IFERROR(lifespans_all!L33*DTE_mission_minutes!L33,"-")</f>
        <v>0</v>
      </c>
      <c r="M33" s="108">
        <f>IFERROR(lifespans_all!M33*DTE_mission_minutes!M33,"-")</f>
        <v>0</v>
      </c>
      <c r="N33" s="108">
        <f>IFERROR(lifespans_all!N33*DTE_mission_minutes!N33,"-")</f>
        <v>0</v>
      </c>
      <c r="O33" s="108">
        <f>IFERROR(lifespans_all!O33*DTE_mission_minutes!O33,"-")</f>
        <v>0</v>
      </c>
      <c r="P33" s="108">
        <f>IFERROR(lifespans_all!P33*DTE_mission_minutes!P33,"-")</f>
        <v>0</v>
      </c>
      <c r="Q33" s="108">
        <f>IFERROR(lifespans_all!Q33*DTE_mission_minutes!Q33,"-")</f>
        <v>0</v>
      </c>
      <c r="R33" s="108">
        <f>IFERROR(lifespans_all!R33*DTE_mission_minutes!R33,"-")</f>
        <v>0</v>
      </c>
      <c r="S33" s="108">
        <f>IFERROR(lifespans_all!S33*DTE_mission_minutes!S33,"-")</f>
        <v>0</v>
      </c>
      <c r="T33" s="108">
        <f>IFERROR(lifespans_all!T33*DTE_mission_minutes!T33,"-")</f>
        <v>0</v>
      </c>
      <c r="U33" s="108">
        <f>IFERROR(lifespans_all!U33*DTE_mission_minutes!U33,"-")</f>
        <v>0</v>
      </c>
      <c r="V33" s="108">
        <f>IFERROR(lifespans_all!V33*DTE_mission_minutes!V33,"-")</f>
        <v>0</v>
      </c>
    </row>
    <row r="34" spans="1:22" x14ac:dyDescent="0.25">
      <c r="A34" s="32" t="s">
        <v>28</v>
      </c>
      <c r="B34" s="32"/>
      <c r="C34" s="108" t="str">
        <f>IFERROR(lifespans_all!C34*DTE_mission_minutes!C34,"-")</f>
        <v>-</v>
      </c>
      <c r="D34" s="108" t="str">
        <f>IFERROR(lifespans_all!D34*DTE_mission_minutes!D34,"-")</f>
        <v>-</v>
      </c>
      <c r="E34" s="108" t="str">
        <f>IFERROR(lifespans_all!E34*DTE_mission_minutes!E34,"-")</f>
        <v>-</v>
      </c>
      <c r="F34" s="108" t="str">
        <f>IFERROR(lifespans_all!F34*DTE_mission_minutes!F34,"-")</f>
        <v>-</v>
      </c>
      <c r="G34" s="108" t="str">
        <f>IFERROR(lifespans_all!G34*DTE_mission_minutes!G34,"-")</f>
        <v>-</v>
      </c>
      <c r="H34" s="108" t="str">
        <f>IFERROR(lifespans_all!H34*DTE_mission_minutes!H34,"-")</f>
        <v>-</v>
      </c>
      <c r="I34" s="108" t="str">
        <f>IFERROR(lifespans_all!I34*DTE_mission_minutes!I34,"-")</f>
        <v>-</v>
      </c>
      <c r="J34" s="108" t="str">
        <f>IFERROR(lifespans_all!J34*DTE_mission_minutes!J34,"-")</f>
        <v>-</v>
      </c>
      <c r="K34" s="108" t="str">
        <f>IFERROR(lifespans_all!K34*DTE_mission_minutes!K34,"-")</f>
        <v>-</v>
      </c>
      <c r="L34" s="108" t="str">
        <f>IFERROR(lifespans_all!L34*DTE_mission_minutes!L34,"-")</f>
        <v>-</v>
      </c>
      <c r="M34" s="108" t="str">
        <f>IFERROR(lifespans_all!M34*DTE_mission_minutes!M34,"-")</f>
        <v>-</v>
      </c>
      <c r="N34" s="108" t="str">
        <f>IFERROR(lifespans_all!N34*DTE_mission_minutes!N34,"-")</f>
        <v>-</v>
      </c>
      <c r="O34" s="108" t="str">
        <f>IFERROR(lifespans_all!O34*DTE_mission_minutes!O34,"-")</f>
        <v>-</v>
      </c>
      <c r="P34" s="108" t="str">
        <f>IFERROR(lifespans_all!P34*DTE_mission_minutes!P34,"-")</f>
        <v>-</v>
      </c>
      <c r="Q34" s="108" t="str">
        <f>IFERROR(lifespans_all!Q34*DTE_mission_minutes!Q34,"-")</f>
        <v>-</v>
      </c>
      <c r="R34" s="108" t="str">
        <f>IFERROR(lifespans_all!R34*DTE_mission_minutes!R34,"-")</f>
        <v>-</v>
      </c>
      <c r="S34" s="108" t="str">
        <f>IFERROR(lifespans_all!S34*DTE_mission_minutes!S34,"-")</f>
        <v>-</v>
      </c>
      <c r="T34" s="108" t="str">
        <f>IFERROR(lifespans_all!T34*DTE_mission_minutes!T34,"-")</f>
        <v>-</v>
      </c>
      <c r="U34" s="108" t="str">
        <f>IFERROR(lifespans_all!U34*DTE_mission_minutes!U34,"-")</f>
        <v>-</v>
      </c>
      <c r="V34" s="108" t="str">
        <f>IFERROR(lifespans_all!V34*DTE_mission_minutes!V34,"-")</f>
        <v>-</v>
      </c>
    </row>
    <row r="35" spans="1:22" x14ac:dyDescent="0.25">
      <c r="A35" s="32" t="s">
        <v>62</v>
      </c>
      <c r="B35" s="33" t="s">
        <v>41</v>
      </c>
      <c r="C35" s="108">
        <f>IFERROR(lifespans_all!C35*DTE_mission_minutes!C35,"-")</f>
        <v>64.579722222222216</v>
      </c>
      <c r="D35" s="108">
        <f>IFERROR(lifespans_all!D35*DTE_mission_minutes!D35,"-")</f>
        <v>56.487941666666664</v>
      </c>
      <c r="E35" s="108">
        <f>IFERROR(lifespans_all!E35*DTE_mission_minutes!E35,"-")</f>
        <v>49.259444444444441</v>
      </c>
      <c r="F35" s="108">
        <f>IFERROR(lifespans_all!F35*DTE_mission_minutes!F35,"-")</f>
        <v>60.035777777777774</v>
      </c>
      <c r="G35" s="108">
        <f>IFERROR(lifespans_all!G35*DTE_mission_minutes!G35,"-")</f>
        <v>60.035777777777774</v>
      </c>
      <c r="H35" s="108">
        <f>IFERROR(lifespans_all!H35*DTE_mission_minutes!H35,"-")</f>
        <v>0</v>
      </c>
      <c r="I35" s="108">
        <f>IFERROR(lifespans_all!I35*DTE_mission_minutes!I35,"-")</f>
        <v>0</v>
      </c>
      <c r="J35" s="108">
        <f>IFERROR(lifespans_all!J35*DTE_mission_minutes!J35,"-")</f>
        <v>0</v>
      </c>
      <c r="K35" s="108">
        <f>IFERROR(lifespans_all!K35*DTE_mission_minutes!K35,"-")</f>
        <v>0</v>
      </c>
      <c r="L35" s="108">
        <f>IFERROR(lifespans_all!L35*DTE_mission_minutes!L35,"-")</f>
        <v>0</v>
      </c>
      <c r="M35" s="108">
        <f>IFERROR(lifespans_all!M35*DTE_mission_minutes!M35,"-")</f>
        <v>0</v>
      </c>
      <c r="N35" s="108">
        <f>IFERROR(lifespans_all!N35*DTE_mission_minutes!N35,"-")</f>
        <v>0</v>
      </c>
      <c r="O35" s="108">
        <f>IFERROR(lifespans_all!O35*DTE_mission_minutes!O35,"-")</f>
        <v>0</v>
      </c>
      <c r="P35" s="108">
        <f>IFERROR(lifespans_all!P35*DTE_mission_minutes!P35,"-")</f>
        <v>0</v>
      </c>
      <c r="Q35" s="108">
        <f>IFERROR(lifespans_all!Q35*DTE_mission_minutes!Q35,"-")</f>
        <v>0</v>
      </c>
      <c r="R35" s="108">
        <f>IFERROR(lifespans_all!R35*DTE_mission_minutes!R35,"-")</f>
        <v>0</v>
      </c>
      <c r="S35" s="108">
        <f>IFERROR(lifespans_all!S35*DTE_mission_minutes!S35,"-")</f>
        <v>0</v>
      </c>
      <c r="T35" s="108">
        <f>IFERROR(lifespans_all!T35*DTE_mission_minutes!T35,"-")</f>
        <v>0</v>
      </c>
      <c r="U35" s="108">
        <f>IFERROR(lifespans_all!U35*DTE_mission_minutes!U35,"-")</f>
        <v>0</v>
      </c>
      <c r="V35" s="108">
        <f>IFERROR(lifespans_all!V35*DTE_mission_minutes!V35,"-")</f>
        <v>0</v>
      </c>
    </row>
    <row r="36" spans="1:22" x14ac:dyDescent="0.25">
      <c r="A36" s="32" t="s">
        <v>29</v>
      </c>
      <c r="B36" s="33" t="s">
        <v>41</v>
      </c>
      <c r="C36" s="108">
        <f>IFERROR(lifespans_all!C36*DTE_mission_minutes!C36,"-")</f>
        <v>133409.35004928565</v>
      </c>
      <c r="D36" s="108">
        <f>IFERROR(lifespans_all!D36*DTE_mission_minutes!D36,"-")</f>
        <v>133409.35004928565</v>
      </c>
      <c r="E36" s="108">
        <f>IFERROR(lifespans_all!E36*DTE_mission_minutes!E36,"-")</f>
        <v>133409.35004928565</v>
      </c>
      <c r="F36" s="108">
        <f>IFERROR(lifespans_all!F36*DTE_mission_minutes!F36,"-")</f>
        <v>0</v>
      </c>
      <c r="G36" s="108">
        <f>IFERROR(lifespans_all!G36*DTE_mission_minutes!G36,"-")</f>
        <v>0</v>
      </c>
      <c r="H36" s="108">
        <f>IFERROR(lifespans_all!H36*DTE_mission_minutes!H36,"-")</f>
        <v>0</v>
      </c>
      <c r="I36" s="108">
        <f>IFERROR(lifespans_all!I36*DTE_mission_minutes!I36,"-")</f>
        <v>0</v>
      </c>
      <c r="J36" s="108">
        <f>IFERROR(lifespans_all!J36*DTE_mission_minutes!J36,"-")</f>
        <v>0</v>
      </c>
      <c r="K36" s="108">
        <f>IFERROR(lifespans_all!K36*DTE_mission_minutes!K36,"-")</f>
        <v>0</v>
      </c>
      <c r="L36" s="108">
        <f>IFERROR(lifespans_all!L36*DTE_mission_minutes!L36,"-")</f>
        <v>0</v>
      </c>
      <c r="M36" s="108">
        <f>IFERROR(lifespans_all!M36*DTE_mission_minutes!M36,"-")</f>
        <v>0</v>
      </c>
      <c r="N36" s="108">
        <f>IFERROR(lifespans_all!N36*DTE_mission_minutes!N36,"-")</f>
        <v>0</v>
      </c>
      <c r="O36" s="108">
        <f>IFERROR(lifespans_all!O36*DTE_mission_minutes!O36,"-")</f>
        <v>0</v>
      </c>
      <c r="P36" s="108">
        <f>IFERROR(lifespans_all!P36*DTE_mission_minutes!P36,"-")</f>
        <v>0</v>
      </c>
      <c r="Q36" s="108">
        <f>IFERROR(lifespans_all!Q36*DTE_mission_minutes!Q36,"-")</f>
        <v>0</v>
      </c>
      <c r="R36" s="108">
        <f>IFERROR(lifespans_all!R36*DTE_mission_minutes!R36,"-")</f>
        <v>0</v>
      </c>
      <c r="S36" s="108">
        <f>IFERROR(lifespans_all!S36*DTE_mission_minutes!S36,"-")</f>
        <v>0</v>
      </c>
      <c r="T36" s="108">
        <f>IFERROR(lifespans_all!T36*DTE_mission_minutes!T36,"-")</f>
        <v>0</v>
      </c>
      <c r="U36" s="108">
        <f>IFERROR(lifespans_all!U36*DTE_mission_minutes!U36,"-")</f>
        <v>0</v>
      </c>
      <c r="V36" s="108">
        <f>IFERROR(lifespans_all!V36*DTE_mission_minutes!V36,"-")</f>
        <v>0</v>
      </c>
    </row>
    <row r="37" spans="1:22" x14ac:dyDescent="0.25">
      <c r="A37" s="32" t="s">
        <v>30</v>
      </c>
      <c r="B37" s="40" t="s">
        <v>43</v>
      </c>
      <c r="C37" s="108">
        <f>IFERROR(lifespans_all!C37*DTE_mission_minutes!C37,"-")</f>
        <v>171572.29579277776</v>
      </c>
      <c r="D37" s="108">
        <f>IFERROR(lifespans_all!D37*DTE_mission_minutes!D37,"-")</f>
        <v>171572.29579277776</v>
      </c>
      <c r="E37" s="108">
        <f>IFERROR(lifespans_all!E37*DTE_mission_minutes!E37,"-")</f>
        <v>171572.29579277776</v>
      </c>
      <c r="F37" s="108">
        <f>IFERROR(lifespans_all!F37*DTE_mission_minutes!F37,"-")</f>
        <v>171572.29579277776</v>
      </c>
      <c r="G37" s="108">
        <f>IFERROR(lifespans_all!G37*DTE_mission_minutes!G37,"-")</f>
        <v>171572.29579277776</v>
      </c>
      <c r="H37" s="108">
        <f>IFERROR(lifespans_all!H37*DTE_mission_minutes!H37,"-")</f>
        <v>171572.29579277776</v>
      </c>
      <c r="I37" s="108">
        <f>IFERROR(lifespans_all!I37*DTE_mission_minutes!I37,"-")</f>
        <v>171572.29579277776</v>
      </c>
      <c r="J37" s="108">
        <f>IFERROR(lifespans_all!J37*DTE_mission_minutes!J37,"-")</f>
        <v>171572.29579277776</v>
      </c>
      <c r="K37" s="108">
        <f>IFERROR(lifespans_all!K37*DTE_mission_minutes!K37,"-")</f>
        <v>171572.29579277776</v>
      </c>
      <c r="L37" s="108">
        <f>IFERROR(lifespans_all!L37*DTE_mission_minutes!L37,"-")</f>
        <v>171572.29579277776</v>
      </c>
      <c r="M37" s="108">
        <f>IFERROR(lifespans_all!M37*DTE_mission_minutes!M37,"-")</f>
        <v>171572.29579277776</v>
      </c>
      <c r="N37" s="108">
        <f>IFERROR(lifespans_all!N37*DTE_mission_minutes!N37,"-")</f>
        <v>171572.29579277776</v>
      </c>
      <c r="O37" s="108">
        <f>IFERROR(lifespans_all!O37*DTE_mission_minutes!O37,"-")</f>
        <v>171572.29579277776</v>
      </c>
      <c r="P37" s="108">
        <f>IFERROR(lifespans_all!P37*DTE_mission_minutes!P37,"-")</f>
        <v>171572.29579277776</v>
      </c>
      <c r="Q37" s="108">
        <f>IFERROR(lifespans_all!Q37*DTE_mission_minutes!Q37,"-")</f>
        <v>171572.29579277776</v>
      </c>
      <c r="R37" s="108">
        <f>IFERROR(lifespans_all!R37*DTE_mission_minutes!R37,"-")</f>
        <v>171572.29579277776</v>
      </c>
      <c r="S37" s="108">
        <f>IFERROR(lifespans_all!S37*DTE_mission_minutes!S37,"-")</f>
        <v>171572.29579277776</v>
      </c>
      <c r="T37" s="108">
        <f>IFERROR(lifespans_all!T37*DTE_mission_minutes!T37,"-")</f>
        <v>171572.29579277776</v>
      </c>
      <c r="U37" s="108">
        <f>IFERROR(lifespans_all!U37*DTE_mission_minutes!U37,"-")</f>
        <v>171572.29579277776</v>
      </c>
      <c r="V37" s="108">
        <f>IFERROR(lifespans_all!V37*DTE_mission_minutes!V37,"-")</f>
        <v>171572.29579277776</v>
      </c>
    </row>
    <row r="38" spans="1:22" x14ac:dyDescent="0.25">
      <c r="A38" s="32" t="s">
        <v>31</v>
      </c>
      <c r="B38" s="41" t="s">
        <v>48</v>
      </c>
      <c r="C38" s="108" t="str">
        <f>IFERROR(lifespans_all!C38*DTE_mission_minutes!C38,"-")</f>
        <v>-</v>
      </c>
      <c r="D38" s="108" t="str">
        <f>IFERROR(lifespans_all!D38*DTE_mission_minutes!D38,"-")</f>
        <v>-</v>
      </c>
      <c r="E38" s="108" t="str">
        <f>IFERROR(lifespans_all!E38*DTE_mission_minutes!E38,"-")</f>
        <v>-</v>
      </c>
      <c r="F38" s="108" t="str">
        <f>IFERROR(lifespans_all!F38*DTE_mission_minutes!F38,"-")</f>
        <v>-</v>
      </c>
      <c r="G38" s="108" t="str">
        <f>IFERROR(lifespans_all!G38*DTE_mission_minutes!G38,"-")</f>
        <v>-</v>
      </c>
      <c r="H38" s="108" t="str">
        <f>IFERROR(lifespans_all!H38*DTE_mission_minutes!H38,"-")</f>
        <v>-</v>
      </c>
      <c r="I38" s="108" t="str">
        <f>IFERROR(lifespans_all!I38*DTE_mission_minutes!I38,"-")</f>
        <v>-</v>
      </c>
      <c r="J38" s="108" t="str">
        <f>IFERROR(lifespans_all!J38*DTE_mission_minutes!J38,"-")</f>
        <v>-</v>
      </c>
      <c r="K38" s="108" t="str">
        <f>IFERROR(lifespans_all!K38*DTE_mission_minutes!K38,"-")</f>
        <v>-</v>
      </c>
      <c r="L38" s="108" t="str">
        <f>IFERROR(lifespans_all!L38*DTE_mission_minutes!L38,"-")</f>
        <v>-</v>
      </c>
      <c r="M38" s="108" t="str">
        <f>IFERROR(lifespans_all!M38*DTE_mission_minutes!M38,"-")</f>
        <v>-</v>
      </c>
      <c r="N38" s="108" t="str">
        <f>IFERROR(lifespans_all!N38*DTE_mission_minutes!N38,"-")</f>
        <v>-</v>
      </c>
      <c r="O38" s="108" t="str">
        <f>IFERROR(lifespans_all!O38*DTE_mission_minutes!O38,"-")</f>
        <v>-</v>
      </c>
      <c r="P38" s="108" t="str">
        <f>IFERROR(lifespans_all!P38*DTE_mission_minutes!P38,"-")</f>
        <v>-</v>
      </c>
      <c r="Q38" s="108" t="str">
        <f>IFERROR(lifespans_all!Q38*DTE_mission_minutes!Q38,"-")</f>
        <v>-</v>
      </c>
      <c r="R38" s="108" t="str">
        <f>IFERROR(lifespans_all!R38*DTE_mission_minutes!R38,"-")</f>
        <v>-</v>
      </c>
      <c r="S38" s="108" t="str">
        <f>IFERROR(lifespans_all!S38*DTE_mission_minutes!S38,"-")</f>
        <v>-</v>
      </c>
      <c r="T38" s="108" t="str">
        <f>IFERROR(lifespans_all!T38*DTE_mission_minutes!T38,"-")</f>
        <v>-</v>
      </c>
      <c r="U38" s="108" t="str">
        <f>IFERROR(lifespans_all!U38*DTE_mission_minutes!U38,"-")</f>
        <v>-</v>
      </c>
      <c r="V38" s="108" t="str">
        <f>IFERROR(lifespans_all!V38*DTE_mission_minutes!V38,"-")</f>
        <v>-</v>
      </c>
    </row>
    <row r="39" spans="1:22" x14ac:dyDescent="0.25">
      <c r="A39" s="32" t="s">
        <v>32</v>
      </c>
      <c r="B39" s="41" t="s">
        <v>48</v>
      </c>
      <c r="C39" s="108" t="str">
        <f>IFERROR(lifespans_all!C39*DTE_mission_minutes!C39,"-")</f>
        <v>-</v>
      </c>
      <c r="D39" s="108" t="str">
        <f>IFERROR(lifespans_all!D39*DTE_mission_minutes!D39,"-")</f>
        <v>-</v>
      </c>
      <c r="E39" s="108" t="str">
        <f>IFERROR(lifespans_all!E39*DTE_mission_minutes!E39,"-")</f>
        <v>-</v>
      </c>
      <c r="F39" s="108" t="str">
        <f>IFERROR(lifespans_all!F39*DTE_mission_minutes!F39,"-")</f>
        <v>-</v>
      </c>
      <c r="G39" s="108" t="str">
        <f>IFERROR(lifespans_all!G39*DTE_mission_minutes!G39,"-")</f>
        <v>-</v>
      </c>
      <c r="H39" s="108" t="str">
        <f>IFERROR(lifespans_all!H39*DTE_mission_minutes!H39,"-")</f>
        <v>-</v>
      </c>
      <c r="I39" s="108" t="str">
        <f>IFERROR(lifespans_all!I39*DTE_mission_minutes!I39,"-")</f>
        <v>-</v>
      </c>
      <c r="J39" s="108" t="str">
        <f>IFERROR(lifespans_all!J39*DTE_mission_minutes!J39,"-")</f>
        <v>-</v>
      </c>
      <c r="K39" s="108" t="str">
        <f>IFERROR(lifespans_all!K39*DTE_mission_minutes!K39,"-")</f>
        <v>-</v>
      </c>
      <c r="L39" s="108" t="str">
        <f>IFERROR(lifespans_all!L39*DTE_mission_minutes!L39,"-")</f>
        <v>-</v>
      </c>
      <c r="M39" s="108" t="str">
        <f>IFERROR(lifespans_all!M39*DTE_mission_minutes!M39,"-")</f>
        <v>-</v>
      </c>
      <c r="N39" s="108" t="str">
        <f>IFERROR(lifespans_all!N39*DTE_mission_minutes!N39,"-")</f>
        <v>-</v>
      </c>
      <c r="O39" s="108" t="str">
        <f>IFERROR(lifespans_all!O39*DTE_mission_minutes!O39,"-")</f>
        <v>-</v>
      </c>
      <c r="P39" s="108" t="str">
        <f>IFERROR(lifespans_all!P39*DTE_mission_minutes!P39,"-")</f>
        <v>-</v>
      </c>
      <c r="Q39" s="108" t="str">
        <f>IFERROR(lifespans_all!Q39*DTE_mission_minutes!Q39,"-")</f>
        <v>-</v>
      </c>
      <c r="R39" s="108" t="str">
        <f>IFERROR(lifespans_all!R39*DTE_mission_minutes!R39,"-")</f>
        <v>-</v>
      </c>
      <c r="S39" s="108" t="str">
        <f>IFERROR(lifespans_all!S39*DTE_mission_minutes!S39,"-")</f>
        <v>-</v>
      </c>
      <c r="T39" s="108" t="str">
        <f>IFERROR(lifespans_all!T39*DTE_mission_minutes!T39,"-")</f>
        <v>-</v>
      </c>
      <c r="U39" s="108" t="str">
        <f>IFERROR(lifespans_all!U39*DTE_mission_minutes!U39,"-")</f>
        <v>-</v>
      </c>
      <c r="V39" s="108" t="str">
        <f>IFERROR(lifespans_all!V39*DTE_mission_minutes!V39,"-")</f>
        <v>-</v>
      </c>
    </row>
    <row r="40" spans="1:22" x14ac:dyDescent="0.25">
      <c r="A40" s="32" t="s">
        <v>33</v>
      </c>
      <c r="B40" s="33" t="s">
        <v>41</v>
      </c>
      <c r="C40" s="108">
        <f>IFERROR(lifespans_all!C40*DTE_mission_minutes!C40,"-")</f>
        <v>0</v>
      </c>
      <c r="D40" s="108">
        <f>IFERROR(lifespans_all!D40*DTE_mission_minutes!D40,"-")</f>
        <v>0</v>
      </c>
      <c r="E40" s="108">
        <f>IFERROR(lifespans_all!E40*DTE_mission_minutes!E40,"-")</f>
        <v>0</v>
      </c>
      <c r="F40" s="108">
        <f>IFERROR(lifespans_all!F40*DTE_mission_minutes!F40,"-")</f>
        <v>0</v>
      </c>
      <c r="G40" s="108">
        <f>IFERROR(lifespans_all!G40*DTE_mission_minutes!G40,"-")</f>
        <v>0</v>
      </c>
      <c r="H40" s="108">
        <f>IFERROR(lifespans_all!H40*DTE_mission_minutes!H40,"-")</f>
        <v>0</v>
      </c>
      <c r="I40" s="108">
        <f>IFERROR(lifespans_all!I40*DTE_mission_minutes!I40,"-")</f>
        <v>0</v>
      </c>
      <c r="J40" s="108">
        <f>IFERROR(lifespans_all!J40*DTE_mission_minutes!J40,"-")</f>
        <v>0</v>
      </c>
      <c r="K40" s="108">
        <f>IFERROR(lifespans_all!K40*DTE_mission_minutes!K40,"-")</f>
        <v>0</v>
      </c>
      <c r="L40" s="108">
        <f>IFERROR(lifespans_all!L40*DTE_mission_minutes!L40,"-")</f>
        <v>0</v>
      </c>
      <c r="M40" s="108">
        <f>IFERROR(lifespans_all!M40*DTE_mission_minutes!M40,"-")</f>
        <v>0</v>
      </c>
      <c r="N40" s="108">
        <f>IFERROR(lifespans_all!N40*DTE_mission_minutes!N40,"-")</f>
        <v>0</v>
      </c>
      <c r="O40" s="108">
        <f>IFERROR(lifespans_all!O40*DTE_mission_minutes!O40,"-")</f>
        <v>0</v>
      </c>
      <c r="P40" s="108">
        <f>IFERROR(lifespans_all!P40*DTE_mission_minutes!P40,"-")</f>
        <v>0</v>
      </c>
      <c r="Q40" s="108">
        <f>IFERROR(lifespans_all!Q40*DTE_mission_minutes!Q40,"-")</f>
        <v>0</v>
      </c>
      <c r="R40" s="108">
        <f>IFERROR(lifespans_all!R40*DTE_mission_minutes!R40,"-")</f>
        <v>0</v>
      </c>
      <c r="S40" s="108">
        <f>IFERROR(lifespans_all!S40*DTE_mission_minutes!S40,"-")</f>
        <v>0</v>
      </c>
      <c r="T40" s="108">
        <f>IFERROR(lifespans_all!T40*DTE_mission_minutes!T40,"-")</f>
        <v>0</v>
      </c>
      <c r="U40" s="108">
        <f>IFERROR(lifespans_all!U40*DTE_mission_minutes!U40,"-")</f>
        <v>0</v>
      </c>
      <c r="V40" s="108">
        <f>IFERROR(lifespans_all!V40*DTE_mission_minutes!V40,"-")</f>
        <v>0</v>
      </c>
    </row>
    <row r="41" spans="1:22" x14ac:dyDescent="0.25">
      <c r="A41" s="32" t="s">
        <v>34</v>
      </c>
      <c r="B41" s="40" t="s">
        <v>45</v>
      </c>
      <c r="C41" s="108">
        <f>IFERROR(lifespans_all!C41*DTE_mission_minutes!C41,"-")</f>
        <v>1321.6547222222223</v>
      </c>
      <c r="D41" s="108">
        <f>IFERROR(lifespans_all!D41*DTE_mission_minutes!D41,"-")</f>
        <v>1450.1822222222222</v>
      </c>
      <c r="E41" s="108">
        <f>IFERROR(lifespans_all!E41*DTE_mission_minutes!E41,"-")</f>
        <v>1386.2452777777776</v>
      </c>
      <c r="F41" s="108">
        <f>IFERROR(lifespans_all!F41*DTE_mission_minutes!F41,"-")</f>
        <v>1393.7255555555555</v>
      </c>
      <c r="G41" s="108">
        <f>IFERROR(lifespans_all!G41*DTE_mission_minutes!G41,"-")</f>
        <v>1393.7255555555555</v>
      </c>
      <c r="H41" s="108">
        <f>IFERROR(lifespans_all!H41*DTE_mission_minutes!H41,"-")</f>
        <v>0</v>
      </c>
      <c r="I41" s="108">
        <f>IFERROR(lifespans_all!I41*DTE_mission_minutes!I41,"-")</f>
        <v>0</v>
      </c>
      <c r="J41" s="108">
        <f>IFERROR(lifespans_all!J41*DTE_mission_minutes!J41,"-")</f>
        <v>0</v>
      </c>
      <c r="K41" s="108">
        <f>IFERROR(lifespans_all!K41*DTE_mission_minutes!K41,"-")</f>
        <v>0</v>
      </c>
      <c r="L41" s="108">
        <f>IFERROR(lifespans_all!L41*DTE_mission_minutes!L41,"-")</f>
        <v>0</v>
      </c>
      <c r="M41" s="108">
        <f>IFERROR(lifespans_all!M41*DTE_mission_minutes!M41,"-")</f>
        <v>0</v>
      </c>
      <c r="N41" s="108">
        <f>IFERROR(lifespans_all!N41*DTE_mission_minutes!N41,"-")</f>
        <v>0</v>
      </c>
      <c r="O41" s="108">
        <f>IFERROR(lifespans_all!O41*DTE_mission_minutes!O41,"-")</f>
        <v>0</v>
      </c>
      <c r="P41" s="108">
        <f>IFERROR(lifespans_all!P41*DTE_mission_minutes!P41,"-")</f>
        <v>0</v>
      </c>
      <c r="Q41" s="108">
        <f>IFERROR(lifespans_all!Q41*DTE_mission_minutes!Q41,"-")</f>
        <v>0</v>
      </c>
      <c r="R41" s="108">
        <f>IFERROR(lifespans_all!R41*DTE_mission_minutes!R41,"-")</f>
        <v>0</v>
      </c>
      <c r="S41" s="108">
        <f>IFERROR(lifespans_all!S41*DTE_mission_minutes!S41,"-")</f>
        <v>0</v>
      </c>
      <c r="T41" s="108">
        <f>IFERROR(lifespans_all!T41*DTE_mission_minutes!T41,"-")</f>
        <v>0</v>
      </c>
      <c r="U41" s="108">
        <f>IFERROR(lifespans_all!U41*DTE_mission_minutes!U41,"-")</f>
        <v>0</v>
      </c>
      <c r="V41" s="108">
        <f>IFERROR(lifespans_all!V41*DTE_mission_minutes!V41,"-")</f>
        <v>0</v>
      </c>
    </row>
    <row r="42" spans="1:22" x14ac:dyDescent="0.25">
      <c r="A42" s="32" t="s">
        <v>63</v>
      </c>
      <c r="B42" s="40" t="s">
        <v>43</v>
      </c>
      <c r="C42" s="108">
        <f>IFERROR(lifespans_all!C42*DTE_mission_minutes!C42,"-")</f>
        <v>171572.29579277776</v>
      </c>
      <c r="D42" s="108">
        <f>IFERROR(lifespans_all!D42*DTE_mission_minutes!D42,"-")</f>
        <v>171572.29579277776</v>
      </c>
      <c r="E42" s="108">
        <f>IFERROR(lifespans_all!E42*DTE_mission_minutes!E42,"-")</f>
        <v>171572.29579277776</v>
      </c>
      <c r="F42" s="108">
        <f>IFERROR(lifespans_all!F42*DTE_mission_minutes!F42,"-")</f>
        <v>171572.29579277776</v>
      </c>
      <c r="G42" s="108">
        <f>IFERROR(lifespans_all!G42*DTE_mission_minutes!G42,"-")</f>
        <v>171572.29579277776</v>
      </c>
      <c r="H42" s="108">
        <f>IFERROR(lifespans_all!H42*DTE_mission_minutes!H42,"-")</f>
        <v>171572.29579277776</v>
      </c>
      <c r="I42" s="108">
        <f>IFERROR(lifespans_all!I42*DTE_mission_minutes!I42,"-")</f>
        <v>171572.29579277776</v>
      </c>
      <c r="J42" s="108">
        <f>IFERROR(lifespans_all!J42*DTE_mission_minutes!J42,"-")</f>
        <v>171572.29579277776</v>
      </c>
      <c r="K42" s="108">
        <f>IFERROR(lifespans_all!K42*DTE_mission_minutes!K42,"-")</f>
        <v>171572.29579277776</v>
      </c>
      <c r="L42" s="108">
        <f>IFERROR(lifespans_all!L42*DTE_mission_minutes!L42,"-")</f>
        <v>171572.29579277776</v>
      </c>
      <c r="M42" s="108">
        <f>IFERROR(lifespans_all!M42*DTE_mission_minutes!M42,"-")</f>
        <v>171572.29579277776</v>
      </c>
      <c r="N42" s="108">
        <f>IFERROR(lifespans_all!N42*DTE_mission_minutes!N42,"-")</f>
        <v>171572.29579277776</v>
      </c>
      <c r="O42" s="108">
        <f>IFERROR(lifespans_all!O42*DTE_mission_minutes!O42,"-")</f>
        <v>171572.29579277776</v>
      </c>
      <c r="P42" s="108">
        <f>IFERROR(lifespans_all!P42*DTE_mission_minutes!P42,"-")</f>
        <v>171572.29579277776</v>
      </c>
      <c r="Q42" s="108">
        <f>IFERROR(lifespans_all!Q42*DTE_mission_minutes!Q42,"-")</f>
        <v>171572.29579277776</v>
      </c>
      <c r="R42" s="108">
        <f>IFERROR(lifespans_all!R42*DTE_mission_minutes!R42,"-")</f>
        <v>171572.29579277776</v>
      </c>
      <c r="S42" s="108">
        <f>IFERROR(lifespans_all!S42*DTE_mission_minutes!S42,"-")</f>
        <v>171572.29579277776</v>
      </c>
      <c r="T42" s="108">
        <f>IFERROR(lifespans_all!T42*DTE_mission_minutes!T42,"-")</f>
        <v>171572.29579277776</v>
      </c>
      <c r="U42" s="108">
        <f>IFERROR(lifespans_all!U42*DTE_mission_minutes!U42,"-")</f>
        <v>171572.29579277776</v>
      </c>
      <c r="V42" s="108">
        <f>IFERROR(lifespans_all!V42*DTE_mission_minutes!V42,"-")</f>
        <v>171572.29579277776</v>
      </c>
    </row>
    <row r="43" spans="1:22" x14ac:dyDescent="0.25">
      <c r="A43" s="32" t="s">
        <v>64</v>
      </c>
      <c r="B43" s="33" t="s">
        <v>46</v>
      </c>
      <c r="C43" s="108" t="str">
        <f>IFERROR(lifespans_all!C43*DTE_mission_minutes!C43,"-")</f>
        <v>-</v>
      </c>
      <c r="D43" s="108" t="str">
        <f>IFERROR(lifespans_all!D43*DTE_mission_minutes!D43,"-")</f>
        <v>-</v>
      </c>
      <c r="E43" s="108" t="str">
        <f>IFERROR(lifespans_all!E43*DTE_mission_minutes!E43,"-")</f>
        <v>-</v>
      </c>
      <c r="F43" s="108" t="str">
        <f>IFERROR(lifespans_all!F43*DTE_mission_minutes!F43,"-")</f>
        <v>-</v>
      </c>
      <c r="G43" s="108" t="str">
        <f>IFERROR(lifespans_all!G43*DTE_mission_minutes!G43,"-")</f>
        <v>-</v>
      </c>
      <c r="H43" s="108" t="str">
        <f>IFERROR(lifespans_all!H43*DTE_mission_minutes!H43,"-")</f>
        <v>-</v>
      </c>
      <c r="I43" s="108" t="str">
        <f>IFERROR(lifespans_all!I43*DTE_mission_minutes!I43,"-")</f>
        <v>-</v>
      </c>
      <c r="J43" s="108" t="str">
        <f>IFERROR(lifespans_all!J43*DTE_mission_minutes!J43,"-")</f>
        <v>-</v>
      </c>
      <c r="K43" s="108" t="str">
        <f>IFERROR(lifespans_all!K43*DTE_mission_minutes!K43,"-")</f>
        <v>-</v>
      </c>
      <c r="L43" s="108" t="str">
        <f>IFERROR(lifespans_all!L43*DTE_mission_minutes!L43,"-")</f>
        <v>-</v>
      </c>
      <c r="M43" s="108" t="str">
        <f>IFERROR(lifespans_all!M43*DTE_mission_minutes!M43,"-")</f>
        <v>-</v>
      </c>
      <c r="N43" s="108" t="str">
        <f>IFERROR(lifespans_all!N43*DTE_mission_minutes!N43,"-")</f>
        <v>-</v>
      </c>
      <c r="O43" s="108" t="str">
        <f>IFERROR(lifespans_all!O43*DTE_mission_minutes!O43,"-")</f>
        <v>-</v>
      </c>
      <c r="P43" s="108" t="str">
        <f>IFERROR(lifespans_all!P43*DTE_mission_minutes!P43,"-")</f>
        <v>-</v>
      </c>
      <c r="Q43" s="108" t="str">
        <f>IFERROR(lifespans_all!Q43*DTE_mission_minutes!Q43,"-")</f>
        <v>-</v>
      </c>
      <c r="R43" s="108" t="str">
        <f>IFERROR(lifespans_all!R43*DTE_mission_minutes!R43,"-")</f>
        <v>-</v>
      </c>
      <c r="S43" s="108" t="str">
        <f>IFERROR(lifespans_all!S43*DTE_mission_minutes!S43,"-")</f>
        <v>-</v>
      </c>
      <c r="T43" s="108" t="str">
        <f>IFERROR(lifespans_all!T43*DTE_mission_minutes!T43,"-")</f>
        <v>-</v>
      </c>
      <c r="U43" s="108" t="str">
        <f>IFERROR(lifespans_all!U43*DTE_mission_minutes!U43,"-")</f>
        <v>-</v>
      </c>
      <c r="V43" s="108" t="str">
        <f>IFERROR(lifespans_all!V43*DTE_mission_minutes!V43,"-")</f>
        <v>-</v>
      </c>
    </row>
    <row r="44" spans="1:22" x14ac:dyDescent="0.25">
      <c r="A44" s="32" t="s">
        <v>65</v>
      </c>
      <c r="B44" s="33" t="s">
        <v>41</v>
      </c>
      <c r="C44" s="108">
        <f>IFERROR(lifespans_all!C44*DTE_mission_minutes!C44,"-")</f>
        <v>3017.8666666666668</v>
      </c>
      <c r="D44" s="108">
        <f>IFERROR(lifespans_all!D44*DTE_mission_minutes!D44,"-")</f>
        <v>3078.4611111111108</v>
      </c>
      <c r="E44" s="108">
        <f>IFERROR(lifespans_all!E44*DTE_mission_minutes!E44,"-")</f>
        <v>2765.7895222222219</v>
      </c>
      <c r="F44" s="108">
        <f>IFERROR(lifespans_all!F44*DTE_mission_minutes!F44,"-")</f>
        <v>3000.2460561111111</v>
      </c>
      <c r="G44" s="108">
        <f>IFERROR(lifespans_all!G44*DTE_mission_minutes!G44,"-")</f>
        <v>3000.2460561111111</v>
      </c>
      <c r="H44" s="108">
        <f>IFERROR(lifespans_all!H44*DTE_mission_minutes!H44,"-")</f>
        <v>3000.2460561111111</v>
      </c>
      <c r="I44" s="108">
        <f>IFERROR(lifespans_all!I44*DTE_mission_minutes!I44,"-")</f>
        <v>3000.2460561111111</v>
      </c>
      <c r="J44" s="108">
        <f>IFERROR(lifespans_all!J44*DTE_mission_minutes!J44,"-")</f>
        <v>0</v>
      </c>
      <c r="K44" s="108">
        <f>IFERROR(lifespans_all!K44*DTE_mission_minutes!K44,"-")</f>
        <v>0</v>
      </c>
      <c r="L44" s="108">
        <f>IFERROR(lifespans_all!L44*DTE_mission_minutes!L44,"-")</f>
        <v>0</v>
      </c>
      <c r="M44" s="108">
        <f>IFERROR(lifespans_all!M44*DTE_mission_minutes!M44,"-")</f>
        <v>0</v>
      </c>
      <c r="N44" s="108">
        <f>IFERROR(lifespans_all!N44*DTE_mission_minutes!N44,"-")</f>
        <v>0</v>
      </c>
      <c r="O44" s="108">
        <f>IFERROR(lifespans_all!O44*DTE_mission_minutes!O44,"-")</f>
        <v>0</v>
      </c>
      <c r="P44" s="108">
        <f>IFERROR(lifespans_all!P44*DTE_mission_minutes!P44,"-")</f>
        <v>0</v>
      </c>
      <c r="Q44" s="108">
        <f>IFERROR(lifespans_all!Q44*DTE_mission_minutes!Q44,"-")</f>
        <v>0</v>
      </c>
      <c r="R44" s="108">
        <f>IFERROR(lifespans_all!R44*DTE_mission_minutes!R44,"-")</f>
        <v>0</v>
      </c>
      <c r="S44" s="108">
        <f>IFERROR(lifespans_all!S44*DTE_mission_minutes!S44,"-")</f>
        <v>0</v>
      </c>
      <c r="T44" s="108">
        <f>IFERROR(lifespans_all!T44*DTE_mission_minutes!T44,"-")</f>
        <v>0</v>
      </c>
      <c r="U44" s="108">
        <f>IFERROR(lifespans_all!U44*DTE_mission_minutes!U44,"-")</f>
        <v>0</v>
      </c>
      <c r="V44" s="108">
        <f>IFERROR(lifespans_all!V44*DTE_mission_minutes!V44,"-")</f>
        <v>0</v>
      </c>
    </row>
    <row r="45" spans="1:22" x14ac:dyDescent="0.25">
      <c r="A45" s="32" t="s">
        <v>35</v>
      </c>
      <c r="B45" s="33" t="s">
        <v>40</v>
      </c>
      <c r="C45" s="108">
        <f>IFERROR(lifespans_all!C45*DTE_mission_minutes!C45,"-")</f>
        <v>2140.4341038095235</v>
      </c>
      <c r="D45" s="108">
        <f>IFERROR(lifespans_all!D45*DTE_mission_minutes!D45,"-")</f>
        <v>2140.4341038095235</v>
      </c>
      <c r="E45" s="108">
        <f>IFERROR(lifespans_all!E45*DTE_mission_minutes!E45,"-")</f>
        <v>0</v>
      </c>
      <c r="F45" s="108">
        <f>IFERROR(lifespans_all!F45*DTE_mission_minutes!F45,"-")</f>
        <v>0</v>
      </c>
      <c r="G45" s="108">
        <f>IFERROR(lifespans_all!G45*DTE_mission_minutes!G45,"-")</f>
        <v>0</v>
      </c>
      <c r="H45" s="108">
        <f>IFERROR(lifespans_all!H45*DTE_mission_minutes!H45,"-")</f>
        <v>0</v>
      </c>
      <c r="I45" s="108">
        <f>IFERROR(lifespans_all!I45*DTE_mission_minutes!I45,"-")</f>
        <v>0</v>
      </c>
      <c r="J45" s="108">
        <f>IFERROR(lifespans_all!J45*DTE_mission_minutes!J45,"-")</f>
        <v>0</v>
      </c>
      <c r="K45" s="108">
        <f>IFERROR(lifespans_all!K45*DTE_mission_minutes!K45,"-")</f>
        <v>0</v>
      </c>
      <c r="L45" s="108">
        <f>IFERROR(lifespans_all!L45*DTE_mission_minutes!L45,"-")</f>
        <v>0</v>
      </c>
      <c r="M45" s="108">
        <f>IFERROR(lifespans_all!M45*DTE_mission_minutes!M45,"-")</f>
        <v>0</v>
      </c>
      <c r="N45" s="108">
        <f>IFERROR(lifespans_all!N45*DTE_mission_minutes!N45,"-")</f>
        <v>0</v>
      </c>
      <c r="O45" s="108">
        <f>IFERROR(lifespans_all!O45*DTE_mission_minutes!O45,"-")</f>
        <v>0</v>
      </c>
      <c r="P45" s="108">
        <f>IFERROR(lifespans_all!P45*DTE_mission_minutes!P45,"-")</f>
        <v>0</v>
      </c>
      <c r="Q45" s="108">
        <f>IFERROR(lifespans_all!Q45*DTE_mission_minutes!Q45,"-")</f>
        <v>0</v>
      </c>
      <c r="R45" s="108">
        <f>IFERROR(lifespans_all!R45*DTE_mission_minutes!R45,"-")</f>
        <v>0</v>
      </c>
      <c r="S45" s="108">
        <f>IFERROR(lifespans_all!S45*DTE_mission_minutes!S45,"-")</f>
        <v>0</v>
      </c>
      <c r="T45" s="108">
        <f>IFERROR(lifespans_all!T45*DTE_mission_minutes!T45,"-")</f>
        <v>0</v>
      </c>
      <c r="U45" s="108">
        <f>IFERROR(lifespans_all!U45*DTE_mission_minutes!U45,"-")</f>
        <v>0</v>
      </c>
      <c r="V45" s="108">
        <f>IFERROR(lifespans_all!V45*DTE_mission_minutes!V45,"-")</f>
        <v>0</v>
      </c>
    </row>
    <row r="46" spans="1:22" x14ac:dyDescent="0.25">
      <c r="A46" s="32" t="s">
        <v>36</v>
      </c>
      <c r="B46" s="33" t="s">
        <v>40</v>
      </c>
      <c r="C46" s="108">
        <f>IFERROR(lifespans_all!C46*DTE_mission_minutes!C46,"-")</f>
        <v>2140.4341038095235</v>
      </c>
      <c r="D46" s="108">
        <f>IFERROR(lifespans_all!D46*DTE_mission_minutes!D46,"-")</f>
        <v>2140.4341038095235</v>
      </c>
      <c r="E46" s="108">
        <f>IFERROR(lifespans_all!E46*DTE_mission_minutes!E46,"-")</f>
        <v>0</v>
      </c>
      <c r="F46" s="108">
        <f>IFERROR(lifespans_all!F46*DTE_mission_minutes!F46,"-")</f>
        <v>0</v>
      </c>
      <c r="G46" s="108">
        <f>IFERROR(lifespans_all!G46*DTE_mission_minutes!G46,"-")</f>
        <v>0</v>
      </c>
      <c r="H46" s="108">
        <f>IFERROR(lifespans_all!H46*DTE_mission_minutes!H46,"-")</f>
        <v>0</v>
      </c>
      <c r="I46" s="108">
        <f>IFERROR(lifespans_all!I46*DTE_mission_minutes!I46,"-")</f>
        <v>0</v>
      </c>
      <c r="J46" s="108">
        <f>IFERROR(lifespans_all!J46*DTE_mission_minutes!J46,"-")</f>
        <v>0</v>
      </c>
      <c r="K46" s="108">
        <f>IFERROR(lifespans_all!K46*DTE_mission_minutes!K46,"-")</f>
        <v>0</v>
      </c>
      <c r="L46" s="108">
        <f>IFERROR(lifespans_all!L46*DTE_mission_minutes!L46,"-")</f>
        <v>0</v>
      </c>
      <c r="M46" s="108">
        <f>IFERROR(lifespans_all!M46*DTE_mission_minutes!M46,"-")</f>
        <v>0</v>
      </c>
      <c r="N46" s="108">
        <f>IFERROR(lifespans_all!N46*DTE_mission_minutes!N46,"-")</f>
        <v>0</v>
      </c>
      <c r="O46" s="108">
        <f>IFERROR(lifespans_all!O46*DTE_mission_minutes!O46,"-")</f>
        <v>0</v>
      </c>
      <c r="P46" s="108">
        <f>IFERROR(lifespans_all!P46*DTE_mission_minutes!P46,"-")</f>
        <v>0</v>
      </c>
      <c r="Q46" s="108">
        <f>IFERROR(lifespans_all!Q46*DTE_mission_minutes!Q46,"-")</f>
        <v>0</v>
      </c>
      <c r="R46" s="108">
        <f>IFERROR(lifespans_all!R46*DTE_mission_minutes!R46,"-")</f>
        <v>0</v>
      </c>
      <c r="S46" s="108">
        <f>IFERROR(lifespans_all!S46*DTE_mission_minutes!S46,"-")</f>
        <v>0</v>
      </c>
      <c r="T46" s="108">
        <f>IFERROR(lifespans_all!T46*DTE_mission_minutes!T46,"-")</f>
        <v>0</v>
      </c>
      <c r="U46" s="108">
        <f>IFERROR(lifespans_all!U46*DTE_mission_minutes!U46,"-")</f>
        <v>0</v>
      </c>
      <c r="V46" s="108">
        <f>IFERROR(lifespans_all!V46*DTE_mission_minutes!V46,"-")</f>
        <v>0</v>
      </c>
    </row>
    <row r="47" spans="1:22" x14ac:dyDescent="0.25">
      <c r="A47" s="32" t="s">
        <v>37</v>
      </c>
      <c r="B47" s="33" t="s">
        <v>40</v>
      </c>
      <c r="C47" s="108">
        <f>IFERROR(lifespans_all!C47*DTE_mission_minutes!C47,"-")</f>
        <v>2140.4341038095235</v>
      </c>
      <c r="D47" s="108">
        <f>IFERROR(lifespans_all!D47*DTE_mission_minutes!D47,"-")</f>
        <v>2140.4341038095235</v>
      </c>
      <c r="E47" s="108">
        <f>IFERROR(lifespans_all!E47*DTE_mission_minutes!E47,"-")</f>
        <v>0</v>
      </c>
      <c r="F47" s="108">
        <f>IFERROR(lifespans_all!F47*DTE_mission_minutes!F47,"-")</f>
        <v>0</v>
      </c>
      <c r="G47" s="108">
        <f>IFERROR(lifespans_all!G47*DTE_mission_minutes!G47,"-")</f>
        <v>0</v>
      </c>
      <c r="H47" s="108">
        <f>IFERROR(lifespans_all!H47*DTE_mission_minutes!H47,"-")</f>
        <v>0</v>
      </c>
      <c r="I47" s="108">
        <f>IFERROR(lifespans_all!I47*DTE_mission_minutes!I47,"-")</f>
        <v>0</v>
      </c>
      <c r="J47" s="108">
        <f>IFERROR(lifespans_all!J47*DTE_mission_minutes!J47,"-")</f>
        <v>0</v>
      </c>
      <c r="K47" s="108">
        <f>IFERROR(lifespans_all!K47*DTE_mission_minutes!K47,"-")</f>
        <v>0</v>
      </c>
      <c r="L47" s="108">
        <f>IFERROR(lifespans_all!L47*DTE_mission_minutes!L47,"-")</f>
        <v>0</v>
      </c>
      <c r="M47" s="108">
        <f>IFERROR(lifespans_all!M47*DTE_mission_minutes!M47,"-")</f>
        <v>0</v>
      </c>
      <c r="N47" s="108">
        <f>IFERROR(lifespans_all!N47*DTE_mission_minutes!N47,"-")</f>
        <v>0</v>
      </c>
      <c r="O47" s="108">
        <f>IFERROR(lifespans_all!O47*DTE_mission_minutes!O47,"-")</f>
        <v>0</v>
      </c>
      <c r="P47" s="108">
        <f>IFERROR(lifespans_all!P47*DTE_mission_minutes!P47,"-")</f>
        <v>0</v>
      </c>
      <c r="Q47" s="108">
        <f>IFERROR(lifespans_all!Q47*DTE_mission_minutes!Q47,"-")</f>
        <v>0</v>
      </c>
      <c r="R47" s="108">
        <f>IFERROR(lifespans_all!R47*DTE_mission_minutes!R47,"-")</f>
        <v>0</v>
      </c>
      <c r="S47" s="108">
        <f>IFERROR(lifespans_all!S47*DTE_mission_minutes!S47,"-")</f>
        <v>0</v>
      </c>
      <c r="T47" s="108">
        <f>IFERROR(lifespans_all!T47*DTE_mission_minutes!T47,"-")</f>
        <v>0</v>
      </c>
      <c r="U47" s="108">
        <f>IFERROR(lifespans_all!U47*DTE_mission_minutes!U47,"-")</f>
        <v>0</v>
      </c>
      <c r="V47" s="108">
        <f>IFERROR(lifespans_all!V47*DTE_mission_minutes!V47,"-")</f>
        <v>0</v>
      </c>
    </row>
    <row r="48" spans="1:22" x14ac:dyDescent="0.25">
      <c r="A48" s="32" t="s">
        <v>38</v>
      </c>
      <c r="B48" s="33" t="s">
        <v>41</v>
      </c>
      <c r="C48" s="108">
        <f>IFERROR(lifespans_all!C48*DTE_mission_minutes!C48,"-")</f>
        <v>133409.35004928565</v>
      </c>
      <c r="D48" s="108">
        <f>IFERROR(lifespans_all!D48*DTE_mission_minutes!D48,"-")</f>
        <v>0</v>
      </c>
      <c r="E48" s="108">
        <f>IFERROR(lifespans_all!E48*DTE_mission_minutes!E48,"-")</f>
        <v>0</v>
      </c>
      <c r="F48" s="108">
        <f>IFERROR(lifespans_all!F48*DTE_mission_minutes!F48,"-")</f>
        <v>0</v>
      </c>
      <c r="G48" s="108">
        <f>IFERROR(lifespans_all!G48*DTE_mission_minutes!G48,"-")</f>
        <v>0</v>
      </c>
      <c r="H48" s="108">
        <f>IFERROR(lifespans_all!H48*DTE_mission_minutes!H48,"-")</f>
        <v>0</v>
      </c>
      <c r="I48" s="108">
        <f>IFERROR(lifespans_all!I48*DTE_mission_minutes!I48,"-")</f>
        <v>0</v>
      </c>
      <c r="J48" s="108">
        <f>IFERROR(lifespans_all!J48*DTE_mission_minutes!J48,"-")</f>
        <v>0</v>
      </c>
      <c r="K48" s="108">
        <f>IFERROR(lifespans_all!K48*DTE_mission_minutes!K48,"-")</f>
        <v>0</v>
      </c>
      <c r="L48" s="108">
        <f>IFERROR(lifespans_all!L48*DTE_mission_minutes!L48,"-")</f>
        <v>0</v>
      </c>
      <c r="M48" s="108">
        <f>IFERROR(lifespans_all!M48*DTE_mission_minutes!M48,"-")</f>
        <v>0</v>
      </c>
      <c r="N48" s="108">
        <f>IFERROR(lifespans_all!N48*DTE_mission_minutes!N48,"-")</f>
        <v>0</v>
      </c>
      <c r="O48" s="108">
        <f>IFERROR(lifespans_all!O48*DTE_mission_minutes!O48,"-")</f>
        <v>0</v>
      </c>
      <c r="P48" s="108">
        <f>IFERROR(lifespans_all!P48*DTE_mission_minutes!P48,"-")</f>
        <v>0</v>
      </c>
      <c r="Q48" s="108">
        <f>IFERROR(lifespans_all!Q48*DTE_mission_minutes!Q48,"-")</f>
        <v>0</v>
      </c>
      <c r="R48" s="108">
        <f>IFERROR(lifespans_all!R48*DTE_mission_minutes!R48,"-")</f>
        <v>0</v>
      </c>
      <c r="S48" s="108">
        <f>IFERROR(lifespans_all!S48*DTE_mission_minutes!S48,"-")</f>
        <v>0</v>
      </c>
      <c r="T48" s="108">
        <f>IFERROR(lifespans_all!T48*DTE_mission_minutes!T48,"-")</f>
        <v>0</v>
      </c>
      <c r="U48" s="108">
        <f>IFERROR(lifespans_all!U48*DTE_mission_minutes!U48,"-")</f>
        <v>0</v>
      </c>
      <c r="V48" s="108">
        <f>IFERROR(lifespans_all!V48*DTE_mission_minutes!V48,"-")</f>
        <v>0</v>
      </c>
    </row>
    <row r="49" spans="1:22" x14ac:dyDescent="0.25">
      <c r="A49" s="24" t="str">
        <f>DTE_mission_minutes!A49</f>
        <v>New</v>
      </c>
      <c r="B49" s="24" t="str">
        <f>DTE_mission_minutes!B49</f>
        <v>Human Space Flight</v>
      </c>
      <c r="C49" s="108">
        <f>IFERROR((lifespans_all!C49*DTE_mission_minutes!C49)*POWER(1+(Historical_Cost!$C$88/100),C$1-2021),"-")</f>
        <v>-85786.14789638888</v>
      </c>
      <c r="D49" s="108">
        <f>IFERROR((lifespans_all!D49*DTE_mission_minutes!D49)*POWER(1+(Historical_Cost!$C$88/100),D$1-2021),"-")</f>
        <v>-175003.74170863332</v>
      </c>
      <c r="E49" s="108">
        <f>IFERROR((lifespans_all!E49*DTE_mission_minutes!E49)*POWER(1+(Historical_Cost!$C$88/100),E$1-2021),"-")</f>
        <v>-267755.72481420898</v>
      </c>
      <c r="F49" s="108">
        <f>IFERROR((lifespans_all!F49*DTE_mission_minutes!F49)*POWER(1+(Historical_Cost!$C$88/100),F$1-2021),"-")</f>
        <v>-364147.78574732417</v>
      </c>
      <c r="G49" s="108">
        <f>IFERROR((lifespans_all!G49*DTE_mission_minutes!G49)*POWER(1+(Historical_Cost!$C$88/100),G$1-2021),"-")</f>
        <v>-464288.42682783835</v>
      </c>
      <c r="H49" s="108">
        <f>IFERROR((lifespans_all!H49*DTE_mission_minutes!H49)*POWER(1+(Historical_Cost!$C$88/100),H$1-2021),"-")</f>
        <v>-568289.03443727409</v>
      </c>
      <c r="I49" s="108">
        <f>IFERROR((lifespans_all!I49*DTE_mission_minutes!I49)*POWER(1+(Historical_Cost!$C$88/100),I$1-2021),"-")</f>
        <v>-676263.95098035631</v>
      </c>
      <c r="J49" s="108">
        <f>IFERROR((lifespans_all!J49*DTE_mission_minutes!J49)*POWER(1+(Historical_Cost!$C$88/100),J$1-2021),"-")</f>
        <v>-788330.54857138661</v>
      </c>
      <c r="K49" s="108">
        <f>IFERROR((lifespans_all!K49*DTE_mission_minutes!K49)*POWER(1+(Historical_Cost!$C$88/100),K$1-2021),"-")</f>
        <v>-904609.30448566622</v>
      </c>
      <c r="L49" s="108">
        <f>IFERROR((lifespans_all!L49*DTE_mission_minutes!L49)*POWER(1+(Historical_Cost!$C$88/100),L$1-2021),"-")</f>
        <v>-1025223.8784170884</v>
      </c>
      <c r="M49" s="108">
        <f>IFERROR((lifespans_all!M49*DTE_mission_minutes!M49)*POWER(1+(Historical_Cost!$C$88/100),M$1-2021),"-")</f>
        <v>-627437.01359125809</v>
      </c>
      <c r="N49" s="108">
        <f>IFERROR((lifespans_all!N49*DTE_mission_minutes!N49)*POWER(1+(Historical_Cost!$C$88/100),N$1-2021),"-")</f>
        <v>-639985.75386308308</v>
      </c>
      <c r="O49" s="108">
        <f>IFERROR((lifespans_all!O49*DTE_mission_minutes!O49)*POWER(1+(Historical_Cost!$C$88/100),O$1-2021),"-")</f>
        <v>-652785.46894034487</v>
      </c>
      <c r="P49" s="108">
        <f>IFERROR((lifespans_all!P49*DTE_mission_minutes!P49)*POWER(1+(Historical_Cost!$C$88/100),P$1-2021),"-")</f>
        <v>-665841.17831915175</v>
      </c>
      <c r="Q49" s="108">
        <f>IFERROR((lifespans_all!Q49*DTE_mission_minutes!Q49)*POWER(1+(Historical_Cost!$C$88/100),Q$1-2021),"-")</f>
        <v>-679158.00188553485</v>
      </c>
      <c r="R49" s="108">
        <f>IFERROR((lifespans_all!R49*DTE_mission_minutes!R49)*POWER(1+(Historical_Cost!$C$88/100),R$1-2021),"-")</f>
        <v>-692741.16192324529</v>
      </c>
      <c r="S49" s="108">
        <f>IFERROR((lifespans_all!S49*DTE_mission_minutes!S49)*POWER(1+(Historical_Cost!$C$88/100),S$1-2021),"-")</f>
        <v>-706595.98516171041</v>
      </c>
      <c r="T49" s="108">
        <f>IFERROR((lifespans_all!T49*DTE_mission_minutes!T49)*POWER(1+(Historical_Cost!$C$88/100),T$1-2021),"-")</f>
        <v>-720727.90486494463</v>
      </c>
      <c r="U49" s="108">
        <f>IFERROR((lifespans_all!U49*DTE_mission_minutes!U49)*POWER(1+(Historical_Cost!$C$88/100),U$1-2021),"-")</f>
        <v>-735142.46296224347</v>
      </c>
      <c r="V49" s="108">
        <f>IFERROR((lifespans_all!V49*DTE_mission_minutes!V49)*POWER(1+(Historical_Cost!$C$88/100),V$1-2021),"-")</f>
        <v>-749845.31222148833</v>
      </c>
    </row>
    <row r="50" spans="1:22" x14ac:dyDescent="0.25">
      <c r="A50" s="24" t="str">
        <f>DTE_mission_minutes!A50</f>
        <v>New</v>
      </c>
      <c r="B50" s="24" t="str">
        <f>DTE_mission_minutes!B50</f>
        <v>Near Earth Robotic - LEO Science</v>
      </c>
      <c r="C50" s="108">
        <f>IFERROR((lifespans_all!C50*DTE_mission_minutes!C50)*POWER(1+(Historical_Cost!$C$88/100),C$1-2021),"-")</f>
        <v>-7937.0931550000005</v>
      </c>
      <c r="D50" s="108">
        <f>IFERROR((lifespans_all!D50*DTE_mission_minutes!D50)*POWER(1+(Historical_Cost!$C$88/100),D$1-2021),"-")</f>
        <v>35886.871479433335</v>
      </c>
      <c r="E50" s="108">
        <f>IFERROR((lifespans_all!E50*DTE_mission_minutes!E50)*POWER(1+(Historical_Cost!$C$88/100),E$1-2021),"-")</f>
        <v>47559.750131627996</v>
      </c>
      <c r="F50" s="108">
        <f>IFERROR((lifespans_all!F50*DTE_mission_minutes!F50)*POWER(1+(Historical_Cost!$C$88/100),F$1-2021),"-")</f>
        <v>107432.64762723562</v>
      </c>
      <c r="G50" s="108">
        <f>IFERROR((lifespans_all!G50*DTE_mission_minutes!G50)*POWER(1+(Historical_Cost!$C$88/100),G$1-2021),"-")</f>
        <v>187441.69836015056</v>
      </c>
      <c r="H50" s="108">
        <f>IFERROR((lifespans_all!H50*DTE_mission_minutes!H50)*POWER(1+(Historical_Cost!$C$88/100),H$1-2021),"-")</f>
        <v>270608.13806333125</v>
      </c>
      <c r="I50" s="108">
        <f>IFERROR((lifespans_all!I50*DTE_mission_minutes!I50)*POWER(1+(Historical_Cost!$C$88/100),I$1-2021),"-")</f>
        <v>357026.2586752951</v>
      </c>
      <c r="J50" s="108">
        <f>IFERROR((lifespans_all!J50*DTE_mission_minutes!J50)*POWER(1+(Historical_Cost!$C$88/100),J$1-2021),"-")</f>
        <v>416190.61011291528</v>
      </c>
      <c r="K50" s="108">
        <f>IFERROR((lifespans_all!K50*DTE_mission_minutes!K50)*POWER(1+(Historical_Cost!$C$88/100),K$1-2021),"-")</f>
        <v>415150.13358763308</v>
      </c>
      <c r="L50" s="108">
        <f>IFERROR((lifespans_all!L50*DTE_mission_minutes!L50)*POWER(1+(Historical_Cost!$C$88/100),L$1-2021),"-")</f>
        <v>413901.56175729429</v>
      </c>
      <c r="M50" s="108">
        <f>IFERROR((lifespans_all!M50*DTE_mission_minutes!M50)*POWER(1+(Historical_Cost!$C$88/100),M$1-2021),"-")</f>
        <v>422179.59299244022</v>
      </c>
      <c r="N50" s="108">
        <f>IFERROR((lifespans_all!N50*DTE_mission_minutes!N50)*POWER(1+(Historical_Cost!$C$88/100),N$1-2021),"-")</f>
        <v>430623.18485228892</v>
      </c>
      <c r="O50" s="108">
        <f>IFERROR((lifespans_all!O50*DTE_mission_minutes!O50)*POWER(1+(Historical_Cost!$C$88/100),O$1-2021),"-")</f>
        <v>439235.64854933479</v>
      </c>
      <c r="P50" s="108">
        <f>IFERROR((lifespans_all!P50*DTE_mission_minutes!P50)*POWER(1+(Historical_Cost!$C$88/100),P$1-2021),"-")</f>
        <v>448020.36152032146</v>
      </c>
      <c r="Q50" s="108">
        <f>IFERROR((lifespans_all!Q50*DTE_mission_minutes!Q50)*POWER(1+(Historical_Cost!$C$88/100),Q$1-2021),"-")</f>
        <v>456980.76875072793</v>
      </c>
      <c r="R50" s="108">
        <f>IFERROR((lifespans_all!R50*DTE_mission_minutes!R50)*POWER(1+(Historical_Cost!$C$88/100),R$1-2021),"-")</f>
        <v>466120.38412574236</v>
      </c>
      <c r="S50" s="108">
        <f>IFERROR((lifespans_all!S50*DTE_mission_minutes!S50)*POWER(1+(Historical_Cost!$C$88/100),S$1-2021),"-")</f>
        <v>475442.79180825729</v>
      </c>
      <c r="T50" s="108">
        <f>IFERROR((lifespans_all!T50*DTE_mission_minutes!T50)*POWER(1+(Historical_Cost!$C$88/100),T$1-2021),"-")</f>
        <v>484951.64764442248</v>
      </c>
      <c r="U50" s="108">
        <f>IFERROR((lifespans_all!U50*DTE_mission_minutes!U50)*POWER(1+(Historical_Cost!$C$88/100),U$1-2021),"-")</f>
        <v>494650.68059731089</v>
      </c>
      <c r="V50" s="108">
        <f>IFERROR((lifespans_all!V50*DTE_mission_minutes!V50)*POWER(1+(Historical_Cost!$C$88/100),V$1-2021),"-")</f>
        <v>504543.69420925708</v>
      </c>
    </row>
    <row r="51" spans="1:22" x14ac:dyDescent="0.25">
      <c r="A51" s="24" t="str">
        <f>DTE_mission_minutes!A51</f>
        <v>New</v>
      </c>
      <c r="B51" s="24" t="str">
        <f>DTE_mission_minutes!B51</f>
        <v>Near Earth Robotic - GEO and Near Earth</v>
      </c>
      <c r="C51" s="108">
        <f>IFERROR((lifespans_all!C51*DTE_mission_minutes!C51)*POWER(1+(Historical_Cost!$C$88/100),C$1-2021),"-")</f>
        <v>-214.04341038095237</v>
      </c>
      <c r="D51" s="108">
        <f>IFERROR((lifespans_all!D51*DTE_mission_minutes!D51)*POWER(1+(Historical_Cost!$C$88/100),D$1-2021),"-")</f>
        <v>-436.64855717714283</v>
      </c>
      <c r="E51" s="108">
        <f>IFERROR((lifespans_all!E51*DTE_mission_minutes!E51)*POWER(1+(Historical_Cost!$C$88/100),E$1-2021),"-")</f>
        <v>8239.5582739326856</v>
      </c>
      <c r="F51" s="108">
        <f>IFERROR((lifespans_all!F51*DTE_mission_minutes!F51)*POWER(1+(Historical_Cost!$C$88/100),F$1-2021),"-")</f>
        <v>8177.2048599677883</v>
      </c>
      <c r="G51" s="108">
        <f>IFERROR((lifespans_all!G51*DTE_mission_minutes!G51)*POWER(1+(Historical_Cost!$C$88/100),G$1-2021),"-")</f>
        <v>8109.061486134724</v>
      </c>
      <c r="H51" s="108">
        <f>IFERROR((lifespans_all!H51*DTE_mission_minutes!H51)*POWER(1+(Historical_Cost!$C$88/100),H$1-2021),"-")</f>
        <v>8034.9214954043491</v>
      </c>
      <c r="I51" s="108">
        <f>IFERROR((lifespans_all!I51*DTE_mission_minutes!I51)*POWER(1+(Historical_Cost!$C$88/100),I$1-2021),"-")</f>
        <v>7954.5722804503057</v>
      </c>
      <c r="J51" s="108">
        <f>IFERROR((lifespans_all!J51*DTE_mission_minutes!J51)*POWER(1+(Historical_Cost!$C$88/100),J$1-2021),"-")</f>
        <v>7867.7951282999375</v>
      </c>
      <c r="K51" s="108">
        <f>IFERROR((lifespans_all!K51*DTE_mission_minutes!K51)*POWER(1+(Historical_Cost!$C$88/100),K$1-2021),"-")</f>
        <v>7774.3650611513776</v>
      </c>
      <c r="L51" s="108">
        <f>IFERROR((lifespans_all!L51*DTE_mission_minutes!L51)*POWER(1+(Historical_Cost!$C$88/100),L$1-2021),"-")</f>
        <v>7674.0506732655522</v>
      </c>
      <c r="M51" s="108">
        <f>IFERROR((lifespans_all!M51*DTE_mission_minutes!M51)*POWER(1+(Historical_Cost!$C$88/100),M$1-2021),"-")</f>
        <v>7827.5316867308638</v>
      </c>
      <c r="N51" s="108">
        <f>IFERROR((lifespans_all!N51*DTE_mission_minutes!N51)*POWER(1+(Historical_Cost!$C$88/100),N$1-2021),"-")</f>
        <v>7984.0823204654798</v>
      </c>
      <c r="O51" s="108">
        <f>IFERROR((lifespans_all!O51*DTE_mission_minutes!O51)*POWER(1+(Historical_Cost!$C$88/100),O$1-2021),"-")</f>
        <v>8143.7639668747906</v>
      </c>
      <c r="P51" s="108">
        <f>IFERROR((lifespans_all!P51*DTE_mission_minutes!P51)*POWER(1+(Historical_Cost!$C$88/100),P$1-2021),"-")</f>
        <v>8306.6392462122858</v>
      </c>
      <c r="Q51" s="108">
        <f>IFERROR((lifespans_all!Q51*DTE_mission_minutes!Q51)*POWER(1+(Historical_Cost!$C$88/100),Q$1-2021),"-")</f>
        <v>8472.772031136532</v>
      </c>
      <c r="R51" s="108">
        <f>IFERROR((lifespans_all!R51*DTE_mission_minutes!R51)*POWER(1+(Historical_Cost!$C$88/100),R$1-2021),"-")</f>
        <v>8642.2274717592609</v>
      </c>
      <c r="S51" s="108">
        <f>IFERROR((lifespans_all!S51*DTE_mission_minutes!S51)*POWER(1+(Historical_Cost!$C$88/100),S$1-2021),"-")</f>
        <v>8815.0720211944481</v>
      </c>
      <c r="T51" s="108">
        <f>IFERROR((lifespans_all!T51*DTE_mission_minutes!T51)*POWER(1+(Historical_Cost!$C$88/100),T$1-2021),"-")</f>
        <v>8991.3734616183374</v>
      </c>
      <c r="U51" s="108">
        <f>IFERROR((lifespans_all!U51*DTE_mission_minutes!U51)*POWER(1+(Historical_Cost!$C$88/100),U$1-2021),"-")</f>
        <v>9171.2009308507022</v>
      </c>
      <c r="V51" s="108">
        <f>IFERROR((lifespans_all!V51*DTE_mission_minutes!V51)*POWER(1+(Historical_Cost!$C$88/100),V$1-2021),"-")</f>
        <v>9354.6249494677159</v>
      </c>
    </row>
    <row r="52" spans="1:22" x14ac:dyDescent="0.25">
      <c r="A52" s="24" t="str">
        <f>DTE_mission_minutes!A52</f>
        <v>New</v>
      </c>
      <c r="B52" s="24" t="str">
        <f>DTE_mission_minutes!B52</f>
        <v>Deep Space Robotic</v>
      </c>
      <c r="C52" s="108" t="str">
        <f>IFERROR((lifespans_all!C52*DTE_mission_minutes!C52)*POWER(1+(Historical_Cost!$C$88/100),C$1-2021),"-")</f>
        <v>-</v>
      </c>
      <c r="D52" s="108" t="str">
        <f>IFERROR((lifespans_all!D52*DTE_mission_minutes!D52)*POWER(1+(Historical_Cost!$C$88/100),D$1-2021),"-")</f>
        <v>-</v>
      </c>
      <c r="E52" s="108" t="str">
        <f>IFERROR((lifespans_all!E52*DTE_mission_minutes!E52)*POWER(1+(Historical_Cost!$C$88/100),E$1-2021),"-")</f>
        <v>-</v>
      </c>
      <c r="F52" s="108" t="str">
        <f>IFERROR((lifespans_all!F52*DTE_mission_minutes!F52)*POWER(1+(Historical_Cost!$C$88/100),F$1-2021),"-")</f>
        <v>-</v>
      </c>
      <c r="G52" s="108" t="str">
        <f>IFERROR((lifespans_all!G52*DTE_mission_minutes!G52)*POWER(1+(Historical_Cost!$C$88/100),G$1-2021),"-")</f>
        <v>-</v>
      </c>
      <c r="H52" s="108" t="str">
        <f>IFERROR((lifespans_all!H52*DTE_mission_minutes!H52)*POWER(1+(Historical_Cost!$C$88/100),H$1-2021),"-")</f>
        <v>-</v>
      </c>
      <c r="I52" s="108" t="str">
        <f>IFERROR((lifespans_all!I52*DTE_mission_minutes!I52)*POWER(1+(Historical_Cost!$C$88/100),I$1-2021),"-")</f>
        <v>-</v>
      </c>
      <c r="J52" s="108" t="str">
        <f>IFERROR((lifespans_all!J52*DTE_mission_minutes!J52)*POWER(1+(Historical_Cost!$C$88/100),J$1-2021),"-")</f>
        <v>-</v>
      </c>
      <c r="K52" s="108" t="str">
        <f>IFERROR((lifespans_all!K52*DTE_mission_minutes!K52)*POWER(1+(Historical_Cost!$C$88/100),K$1-2021),"-")</f>
        <v>-</v>
      </c>
      <c r="L52" s="108" t="str">
        <f>IFERROR((lifespans_all!L52*DTE_mission_minutes!L52)*POWER(1+(Historical_Cost!$C$88/100),L$1-2021),"-")</f>
        <v>-</v>
      </c>
      <c r="M52" s="108" t="str">
        <f>IFERROR((lifespans_all!M52*DTE_mission_minutes!M52)*POWER(1+(Historical_Cost!$C$88/100),M$1-2021),"-")</f>
        <v>-</v>
      </c>
      <c r="N52" s="108" t="str">
        <f>IFERROR((lifespans_all!N52*DTE_mission_minutes!N52)*POWER(1+(Historical_Cost!$C$88/100),N$1-2021),"-")</f>
        <v>-</v>
      </c>
      <c r="O52" s="108" t="str">
        <f>IFERROR((lifespans_all!O52*DTE_mission_minutes!O52)*POWER(1+(Historical_Cost!$C$88/100),O$1-2021),"-")</f>
        <v>-</v>
      </c>
      <c r="P52" s="108" t="str">
        <f>IFERROR((lifespans_all!P52*DTE_mission_minutes!P52)*POWER(1+(Historical_Cost!$C$88/100),P$1-2021),"-")</f>
        <v>-</v>
      </c>
      <c r="Q52" s="108" t="str">
        <f>IFERROR((lifespans_all!Q52*DTE_mission_minutes!Q52)*POWER(1+(Historical_Cost!$C$88/100),Q$1-2021),"-")</f>
        <v>-</v>
      </c>
      <c r="R52" s="108" t="str">
        <f>IFERROR((lifespans_all!R52*DTE_mission_minutes!R52)*POWER(1+(Historical_Cost!$C$88/100),R$1-2021),"-")</f>
        <v>-</v>
      </c>
      <c r="S52" s="108" t="str">
        <f>IFERROR((lifespans_all!S52*DTE_mission_minutes!S52)*POWER(1+(Historical_Cost!$C$88/100),S$1-2021),"-")</f>
        <v>-</v>
      </c>
      <c r="T52" s="108" t="str">
        <f>IFERROR((lifespans_all!T52*DTE_mission_minutes!T52)*POWER(1+(Historical_Cost!$C$88/100),T$1-2021),"-")</f>
        <v>-</v>
      </c>
      <c r="U52" s="108" t="str">
        <f>IFERROR((lifespans_all!U52*DTE_mission_minutes!U52)*POWER(1+(Historical_Cost!$C$88/100),U$1-2021),"-")</f>
        <v>-</v>
      </c>
      <c r="V52" s="108" t="str">
        <f>IFERROR((lifespans_all!V52*DTE_mission_minutes!V52)*POWER(1+(Historical_Cost!$C$88/100),V$1-2021),"-")</f>
        <v>-</v>
      </c>
    </row>
    <row r="53" spans="1:22" x14ac:dyDescent="0.25">
      <c r="A53" s="24" t="str">
        <f>DTE_mission_minutes!A53</f>
        <v>New</v>
      </c>
      <c r="B53" s="24" t="str">
        <f>DTE_mission_minutes!B53</f>
        <v>Near Earth Robotic - Low Latency &amp; Complex Needs</v>
      </c>
      <c r="C53" s="108">
        <f>IFERROR((lifespans_all!C53*DTE_mission_minutes!C53)*POWER(1+(Historical_Cost!$C$88/100),C$1-2021),"-")</f>
        <v>0</v>
      </c>
      <c r="D53" s="108">
        <f>IFERROR((lifespans_all!D53*DTE_mission_minutes!D53)*POWER(1+(Historical_Cost!$C$88/100),D$1-2021),"-")</f>
        <v>0</v>
      </c>
      <c r="E53" s="108">
        <f>IFERROR((lifespans_all!E53*DTE_mission_minutes!E53)*POWER(1+(Historical_Cost!$C$88/100),E$1-2021),"-")</f>
        <v>0</v>
      </c>
      <c r="F53" s="108">
        <f>IFERROR((lifespans_all!F53*DTE_mission_minutes!F53)*POWER(1+(Historical_Cost!$C$88/100),F$1-2021),"-")</f>
        <v>0</v>
      </c>
      <c r="G53" s="108">
        <f>IFERROR((lifespans_all!G53*DTE_mission_minutes!G53)*POWER(1+(Historical_Cost!$C$88/100),G$1-2021),"-")</f>
        <v>0</v>
      </c>
      <c r="H53" s="108">
        <f>IFERROR((lifespans_all!H53*DTE_mission_minutes!H53)*POWER(1+(Historical_Cost!$C$88/100),H$1-2021),"-")</f>
        <v>0</v>
      </c>
      <c r="I53" s="108">
        <f>IFERROR((lifespans_all!I53*DTE_mission_minutes!I53)*POWER(1+(Historical_Cost!$C$88/100),I$1-2021),"-")</f>
        <v>0</v>
      </c>
      <c r="J53" s="108">
        <f>IFERROR((lifespans_all!J53*DTE_mission_minutes!J53)*POWER(1+(Historical_Cost!$C$88/100),J$1-2021),"-")</f>
        <v>0</v>
      </c>
      <c r="K53" s="108">
        <f>IFERROR((lifespans_all!K53*DTE_mission_minutes!K53)*POWER(1+(Historical_Cost!$C$88/100),K$1-2021),"-")</f>
        <v>0</v>
      </c>
      <c r="L53" s="108">
        <f>IFERROR((lifespans_all!L53*DTE_mission_minutes!L53)*POWER(1+(Historical_Cost!$C$88/100),L$1-2021),"-")</f>
        <v>0</v>
      </c>
      <c r="M53" s="108">
        <f>IFERROR((lifespans_all!M53*DTE_mission_minutes!M53)*POWER(1+(Historical_Cost!$C$88/100),M$1-2021),"-")</f>
        <v>0</v>
      </c>
      <c r="N53" s="108">
        <f>IFERROR((lifespans_all!N53*DTE_mission_minutes!N53)*POWER(1+(Historical_Cost!$C$88/100),N$1-2021),"-")</f>
        <v>0</v>
      </c>
      <c r="O53" s="108">
        <f>IFERROR((lifespans_all!O53*DTE_mission_minutes!O53)*POWER(1+(Historical_Cost!$C$88/100),O$1-2021),"-")</f>
        <v>0</v>
      </c>
      <c r="P53" s="108">
        <f>IFERROR((lifespans_all!P53*DTE_mission_minutes!P53)*POWER(1+(Historical_Cost!$C$88/100),P$1-2021),"-")</f>
        <v>0</v>
      </c>
      <c r="Q53" s="108">
        <f>IFERROR((lifespans_all!Q53*DTE_mission_minutes!Q53)*POWER(1+(Historical_Cost!$C$88/100),Q$1-2021),"-")</f>
        <v>0</v>
      </c>
      <c r="R53" s="108">
        <f>IFERROR((lifespans_all!R53*DTE_mission_minutes!R53)*POWER(1+(Historical_Cost!$C$88/100),R$1-2021),"-")</f>
        <v>0</v>
      </c>
      <c r="S53" s="108">
        <f>IFERROR((lifespans_all!S53*DTE_mission_minutes!S53)*POWER(1+(Historical_Cost!$C$88/100),S$1-2021),"-")</f>
        <v>0</v>
      </c>
      <c r="T53" s="108">
        <f>IFERROR((lifespans_all!T53*DTE_mission_minutes!T53)*POWER(1+(Historical_Cost!$C$88/100),T$1-2021),"-")</f>
        <v>0</v>
      </c>
      <c r="U53" s="108">
        <f>IFERROR((lifespans_all!U53*DTE_mission_minutes!U53)*POWER(1+(Historical_Cost!$C$88/100),U$1-2021),"-")</f>
        <v>0</v>
      </c>
      <c r="V53" s="108">
        <f>IFERROR((lifespans_all!V53*DTE_mission_minutes!V53)*POWER(1+(Historical_Cost!$C$88/100),V$1-2021),"-")</f>
        <v>0</v>
      </c>
    </row>
    <row r="54" spans="1:22" x14ac:dyDescent="0.25">
      <c r="A54" s="24" t="str">
        <f>DTE_mission_minutes!A54</f>
        <v>New</v>
      </c>
      <c r="B54" s="24" t="str">
        <f>DTE_mission_minutes!B54</f>
        <v>Mission Operations</v>
      </c>
      <c r="C54" s="108" t="str">
        <f>IFERROR((lifespans_all!C54*DTE_mission_minutes!C54)*POWER(1+(Historical_Cost!$C$88/100),C$1-2021),"-")</f>
        <v>-</v>
      </c>
      <c r="D54" s="108" t="str">
        <f>IFERROR((lifespans_all!D54*DTE_mission_minutes!D54)*POWER(1+(Historical_Cost!$C$88/100),D$1-2021),"-")</f>
        <v>-</v>
      </c>
      <c r="E54" s="108" t="str">
        <f>IFERROR((lifespans_all!E54*DTE_mission_minutes!E54)*POWER(1+(Historical_Cost!$C$88/100),E$1-2021),"-")</f>
        <v>-</v>
      </c>
      <c r="F54" s="108" t="str">
        <f>IFERROR((lifespans_all!F54*DTE_mission_minutes!F54)*POWER(1+(Historical_Cost!$C$88/100),F$1-2021),"-")</f>
        <v>-</v>
      </c>
      <c r="G54" s="108" t="str">
        <f>IFERROR((lifespans_all!G54*DTE_mission_minutes!G54)*POWER(1+(Historical_Cost!$C$88/100),G$1-2021),"-")</f>
        <v>-</v>
      </c>
      <c r="H54" s="108" t="str">
        <f>IFERROR((lifespans_all!H54*DTE_mission_minutes!H54)*POWER(1+(Historical_Cost!$C$88/100),H$1-2021),"-")</f>
        <v>-</v>
      </c>
      <c r="I54" s="108" t="str">
        <f>IFERROR((lifespans_all!I54*DTE_mission_minutes!I54)*POWER(1+(Historical_Cost!$C$88/100),I$1-2021),"-")</f>
        <v>-</v>
      </c>
      <c r="J54" s="108" t="str">
        <f>IFERROR((lifespans_all!J54*DTE_mission_minutes!J54)*POWER(1+(Historical_Cost!$C$88/100),J$1-2021),"-")</f>
        <v>-</v>
      </c>
      <c r="K54" s="108" t="str">
        <f>IFERROR((lifespans_all!K54*DTE_mission_minutes!K54)*POWER(1+(Historical_Cost!$C$88/100),K$1-2021),"-")</f>
        <v>-</v>
      </c>
      <c r="L54" s="108" t="str">
        <f>IFERROR((lifespans_all!L54*DTE_mission_minutes!L54)*POWER(1+(Historical_Cost!$C$88/100),L$1-2021),"-")</f>
        <v>-</v>
      </c>
      <c r="M54" s="108" t="str">
        <f>IFERROR((lifespans_all!M54*DTE_mission_minutes!M54)*POWER(1+(Historical_Cost!$C$88/100),M$1-2021),"-")</f>
        <v>-</v>
      </c>
      <c r="N54" s="108" t="str">
        <f>IFERROR((lifespans_all!N54*DTE_mission_minutes!N54)*POWER(1+(Historical_Cost!$C$88/100),N$1-2021),"-")</f>
        <v>-</v>
      </c>
      <c r="O54" s="108" t="str">
        <f>IFERROR((lifespans_all!O54*DTE_mission_minutes!O54)*POWER(1+(Historical_Cost!$C$88/100),O$1-2021),"-")</f>
        <v>-</v>
      </c>
      <c r="P54" s="108" t="str">
        <f>IFERROR((lifespans_all!P54*DTE_mission_minutes!P54)*POWER(1+(Historical_Cost!$C$88/100),P$1-2021),"-")</f>
        <v>-</v>
      </c>
      <c r="Q54" s="108" t="str">
        <f>IFERROR((lifespans_all!Q54*DTE_mission_minutes!Q54)*POWER(1+(Historical_Cost!$C$88/100),Q$1-2021),"-")</f>
        <v>-</v>
      </c>
      <c r="R54" s="108" t="str">
        <f>IFERROR((lifespans_all!R54*DTE_mission_minutes!R54)*POWER(1+(Historical_Cost!$C$88/100),R$1-2021),"-")</f>
        <v>-</v>
      </c>
      <c r="S54" s="108" t="str">
        <f>IFERROR((lifespans_all!S54*DTE_mission_minutes!S54)*POWER(1+(Historical_Cost!$C$88/100),S$1-2021),"-")</f>
        <v>-</v>
      </c>
      <c r="T54" s="108" t="str">
        <f>IFERROR((lifespans_all!T54*DTE_mission_minutes!T54)*POWER(1+(Historical_Cost!$C$88/100),T$1-2021),"-")</f>
        <v>-</v>
      </c>
      <c r="U54" s="108" t="str">
        <f>IFERROR((lifespans_all!U54*DTE_mission_minutes!U54)*POWER(1+(Historical_Cost!$C$88/100),U$1-2021),"-")</f>
        <v>-</v>
      </c>
      <c r="V54" s="108" t="str">
        <f>IFERROR((lifespans_all!V54*DTE_mission_minutes!V54)*POWER(1+(Historical_Cost!$C$88/100),V$1-2021),"-")</f>
        <v>-</v>
      </c>
    </row>
    <row r="55" spans="1:22" x14ac:dyDescent="0.25">
      <c r="A55" s="24" t="str">
        <f>DTE_mission_minutes!A55</f>
        <v>New</v>
      </c>
      <c r="B55" s="24" t="str">
        <f>DTE_mission_minutes!B55</f>
        <v>Launch Events</v>
      </c>
      <c r="C55" s="108" t="str">
        <f>IFERROR((lifespans_all!C55*DTE_mission_minutes!C55)*POWER(1+(Historical_Cost!$C$88/100),C$1-2021),"-")</f>
        <v>-</v>
      </c>
      <c r="D55" s="108" t="str">
        <f>IFERROR((lifespans_all!D55*DTE_mission_minutes!D55)*POWER(1+(Historical_Cost!$C$88/100),D$1-2021),"-")</f>
        <v>-</v>
      </c>
      <c r="E55" s="108" t="str">
        <f>IFERROR((lifespans_all!E55*DTE_mission_minutes!E55)*POWER(1+(Historical_Cost!$C$88/100),E$1-2021),"-")</f>
        <v>-</v>
      </c>
      <c r="F55" s="108" t="str">
        <f>IFERROR((lifespans_all!F55*DTE_mission_minutes!F55)*POWER(1+(Historical_Cost!$C$88/100),F$1-2021),"-")</f>
        <v>-</v>
      </c>
      <c r="G55" s="108" t="str">
        <f>IFERROR((lifespans_all!G55*DTE_mission_minutes!G55)*POWER(1+(Historical_Cost!$C$88/100),G$1-2021),"-")</f>
        <v>-</v>
      </c>
      <c r="H55" s="108" t="str">
        <f>IFERROR((lifespans_all!H55*DTE_mission_minutes!H55)*POWER(1+(Historical_Cost!$C$88/100),H$1-2021),"-")</f>
        <v>-</v>
      </c>
      <c r="I55" s="108" t="str">
        <f>IFERROR((lifespans_all!I55*DTE_mission_minutes!I55)*POWER(1+(Historical_Cost!$C$88/100),I$1-2021),"-")</f>
        <v>-</v>
      </c>
      <c r="J55" s="108" t="str">
        <f>IFERROR((lifespans_all!J55*DTE_mission_minutes!J55)*POWER(1+(Historical_Cost!$C$88/100),J$1-2021),"-")</f>
        <v>-</v>
      </c>
      <c r="K55" s="108" t="str">
        <f>IFERROR((lifespans_all!K55*DTE_mission_minutes!K55)*POWER(1+(Historical_Cost!$C$88/100),K$1-2021),"-")</f>
        <v>-</v>
      </c>
      <c r="L55" s="108" t="str">
        <f>IFERROR((lifespans_all!L55*DTE_mission_minutes!L55)*POWER(1+(Historical_Cost!$C$88/100),L$1-2021),"-")</f>
        <v>-</v>
      </c>
      <c r="M55" s="108" t="str">
        <f>IFERROR((lifespans_all!M55*DTE_mission_minutes!M55)*POWER(1+(Historical_Cost!$C$88/100),M$1-2021),"-")</f>
        <v>-</v>
      </c>
      <c r="N55" s="108" t="str">
        <f>IFERROR((lifespans_all!N55*DTE_mission_minutes!N55)*POWER(1+(Historical_Cost!$C$88/100),N$1-2021),"-")</f>
        <v>-</v>
      </c>
      <c r="O55" s="108" t="str">
        <f>IFERROR((lifespans_all!O55*DTE_mission_minutes!O55)*POWER(1+(Historical_Cost!$C$88/100),O$1-2021),"-")</f>
        <v>-</v>
      </c>
      <c r="P55" s="108" t="str">
        <f>IFERROR((lifespans_all!P55*DTE_mission_minutes!P55)*POWER(1+(Historical_Cost!$C$88/100),P$1-2021),"-")</f>
        <v>-</v>
      </c>
      <c r="Q55" s="108" t="str">
        <f>IFERROR((lifespans_all!Q55*DTE_mission_minutes!Q55)*POWER(1+(Historical_Cost!$C$88/100),Q$1-2021),"-")</f>
        <v>-</v>
      </c>
      <c r="R55" s="108" t="str">
        <f>IFERROR((lifespans_all!R55*DTE_mission_minutes!R55)*POWER(1+(Historical_Cost!$C$88/100),R$1-2021),"-")</f>
        <v>-</v>
      </c>
      <c r="S55" s="108" t="str">
        <f>IFERROR((lifespans_all!S55*DTE_mission_minutes!S55)*POWER(1+(Historical_Cost!$C$88/100),S$1-2021),"-")</f>
        <v>-</v>
      </c>
      <c r="T55" s="108" t="str">
        <f>IFERROR((lifespans_all!T55*DTE_mission_minutes!T55)*POWER(1+(Historical_Cost!$C$88/100),T$1-2021),"-")</f>
        <v>-</v>
      </c>
      <c r="U55" s="108" t="str">
        <f>IFERROR((lifespans_all!U55*DTE_mission_minutes!U55)*POWER(1+(Historical_Cost!$C$88/100),U$1-2021),"-")</f>
        <v>-</v>
      </c>
      <c r="V55" s="108" t="str">
        <f>IFERROR((lifespans_all!V55*DTE_mission_minutes!V55)*POWER(1+(Historical_Cost!$C$88/100),V$1-2021),"-")</f>
        <v>-</v>
      </c>
    </row>
    <row r="56" spans="1:22" x14ac:dyDescent="0.25">
      <c r="A56" s="24" t="str">
        <f>DTE_mission_minutes!A56</f>
        <v>New</v>
      </c>
      <c r="B56" s="24" t="str">
        <f>DTE_mission_minutes!B56</f>
        <v>Terrestrial &amp; Aerial</v>
      </c>
      <c r="C56" s="108">
        <f>IFERROR((lifespans_all!C56*DTE_mission_minutes!C56)*POWER(1+(Historical_Cost!$C$88/100),C$1-2021),"-")</f>
        <v>-26836.151351000004</v>
      </c>
      <c r="D56" s="108">
        <f>IFERROR((lifespans_all!D56*DTE_mission_minutes!D56)*POWER(1+(Historical_Cost!$C$88/100),D$1-2021),"-")</f>
        <v>36497.165837360015</v>
      </c>
      <c r="E56" s="108">
        <f>IFERROR((lifespans_all!E56*DTE_mission_minutes!E56)*POWER(1+(Historical_Cost!$C$88/100),E$1-2021),"-")</f>
        <v>9306.7772885268114</v>
      </c>
      <c r="F56" s="108">
        <f>IFERROR((lifespans_all!F56*DTE_mission_minutes!F56)*POWER(1+(Historical_Cost!$C$88/100),F$1-2021),"-")</f>
        <v>-18985.825668594669</v>
      </c>
      <c r="G56" s="108">
        <f>IFERROR((lifespans_all!G56*DTE_mission_minutes!G56)*POWER(1+(Historical_Cost!$C$88/100),G$1-2021),"-")</f>
        <v>-48413.855454916426</v>
      </c>
      <c r="H56" s="108">
        <f>IFERROR((lifespans_all!H56*DTE_mission_minutes!H56)*POWER(1+(Historical_Cost!$C$88/100),H$1-2021),"-")</f>
        <v>19752.853025605895</v>
      </c>
      <c r="I56" s="108">
        <f>IFERROR((lifespans_all!I56*DTE_mission_minutes!I56)*POWER(1+(Historical_Cost!$C$88/100),I$1-2021),"-")</f>
        <v>-10073.955043059019</v>
      </c>
      <c r="J56" s="108">
        <f>IFERROR((lifespans_all!J56*DTE_mission_minutes!J56)*POWER(1+(Historical_Cost!$C$88/100),J$1-2021),"-")</f>
        <v>-41101.736575680741</v>
      </c>
      <c r="K56" s="108">
        <f>IFERROR((lifespans_all!K56*DTE_mission_minutes!K56)*POWER(1+(Historical_Cost!$C$88/100),K$1-2021),"-")</f>
        <v>-73366.599787590123</v>
      </c>
      <c r="L56" s="108">
        <f>IFERROR((lifespans_all!L56*DTE_mission_minutes!L56)*POWER(1+(Historical_Cost!$C$88/100),L$1-2021),"-")</f>
        <v>-106905.6168333456</v>
      </c>
      <c r="M56" s="108">
        <f>IFERROR((lifespans_all!M56*DTE_mission_minutes!M56)*POWER(1+(Historical_Cost!$C$88/100),M$1-2021),"-")</f>
        <v>-109043.72917001251</v>
      </c>
      <c r="N56" s="108">
        <f>IFERROR((lifespans_all!N56*DTE_mission_minutes!N56)*POWER(1+(Historical_Cost!$C$88/100),N$1-2021),"-")</f>
        <v>-111224.60375341274</v>
      </c>
      <c r="O56" s="108">
        <f>IFERROR((lifespans_all!O56*DTE_mission_minutes!O56)*POWER(1+(Historical_Cost!$C$88/100),O$1-2021),"-")</f>
        <v>-113449.09582848102</v>
      </c>
      <c r="P56" s="108">
        <f>IFERROR((lifespans_all!P56*DTE_mission_minutes!P56)*POWER(1+(Historical_Cost!$C$88/100),P$1-2021),"-")</f>
        <v>-115718.07774505063</v>
      </c>
      <c r="Q56" s="108">
        <f>IFERROR((lifespans_all!Q56*DTE_mission_minutes!Q56)*POWER(1+(Historical_Cost!$C$88/100),Q$1-2021),"-")</f>
        <v>-118032.43929995166</v>
      </c>
      <c r="R56" s="108">
        <f>IFERROR((lifespans_all!R56*DTE_mission_minutes!R56)*POWER(1+(Historical_Cost!$C$88/100),R$1-2021),"-")</f>
        <v>-120393.08808595066</v>
      </c>
      <c r="S56" s="108">
        <f>IFERROR((lifespans_all!S56*DTE_mission_minutes!S56)*POWER(1+(Historical_Cost!$C$88/100),S$1-2021),"-")</f>
        <v>-122800.94984766969</v>
      </c>
      <c r="T56" s="108">
        <f>IFERROR((lifespans_all!T56*DTE_mission_minutes!T56)*POWER(1+(Historical_Cost!$C$88/100),T$1-2021),"-")</f>
        <v>-125256.96884462309</v>
      </c>
      <c r="U56" s="108">
        <f>IFERROR((lifespans_all!U56*DTE_mission_minutes!U56)*POWER(1+(Historical_Cost!$C$88/100),U$1-2021),"-")</f>
        <v>-127762.10822151553</v>
      </c>
      <c r="V56" s="108">
        <f>IFERROR((lifespans_all!V56*DTE_mission_minutes!V56)*POWER(1+(Historical_Cost!$C$88/100),V$1-2021),"-")</f>
        <v>-130317.35038594584</v>
      </c>
    </row>
    <row r="57" spans="1:22" x14ac:dyDescent="0.25">
      <c r="C57" s="2"/>
      <c r="D57" s="2"/>
      <c r="E57" s="2"/>
      <c r="F57" s="2"/>
      <c r="G57" s="2"/>
      <c r="H57" s="2"/>
      <c r="I57" s="2"/>
      <c r="J57" s="2"/>
      <c r="K57" s="2"/>
      <c r="L57" s="2"/>
      <c r="M57" s="2"/>
      <c r="N57" s="2"/>
      <c r="O57" s="2"/>
      <c r="P57" s="2"/>
      <c r="Q57" s="2"/>
      <c r="R57" s="2"/>
      <c r="S57" s="2"/>
      <c r="T57" s="2"/>
      <c r="U57" s="2"/>
      <c r="V57" s="2"/>
    </row>
    <row r="58" spans="1:22" x14ac:dyDescent="0.25">
      <c r="C58" s="26">
        <f t="shared" ref="C58:V58" si="0">SUM(C2:C56)</f>
        <v>1631717.2784988966</v>
      </c>
      <c r="D58" s="26">
        <f t="shared" si="0"/>
        <v>1381289.5464613002</v>
      </c>
      <c r="E58" s="26">
        <f t="shared" si="0"/>
        <v>1138254.7164155927</v>
      </c>
      <c r="F58" s="26">
        <f t="shared" si="0"/>
        <v>809950.38473953854</v>
      </c>
      <c r="G58" s="26">
        <f t="shared" si="0"/>
        <v>758034.88531067315</v>
      </c>
      <c r="H58" s="26">
        <f t="shared" si="0"/>
        <v>666975.3960721466</v>
      </c>
      <c r="I58" s="26">
        <f t="shared" si="0"/>
        <v>480337.96391923475</v>
      </c>
      <c r="J58" s="26">
        <f t="shared" si="0"/>
        <v>392524.30767883034</v>
      </c>
      <c r="K58" s="26">
        <f t="shared" si="0"/>
        <v>242846.78196021062</v>
      </c>
      <c r="L58" s="26">
        <f t="shared" si="0"/>
        <v>87344.304764808316</v>
      </c>
      <c r="M58" s="26">
        <f t="shared" si="0"/>
        <v>482803.54277424968</v>
      </c>
      <c r="N58" s="26">
        <f t="shared" si="0"/>
        <v>476674.07041260775</v>
      </c>
      <c r="O58" s="26">
        <f t="shared" si="0"/>
        <v>470422.00860373292</v>
      </c>
      <c r="P58" s="26">
        <f t="shared" si="0"/>
        <v>464044.90555868053</v>
      </c>
      <c r="Q58" s="26">
        <f t="shared" si="0"/>
        <v>457540.26045272721</v>
      </c>
      <c r="R58" s="26">
        <f t="shared" si="0"/>
        <v>450905.5224446549</v>
      </c>
      <c r="S58" s="26">
        <f t="shared" si="0"/>
        <v>444138.08967642079</v>
      </c>
      <c r="T58" s="26">
        <f t="shared" si="0"/>
        <v>437235.30825282226</v>
      </c>
      <c r="U58" s="26">
        <f t="shared" si="0"/>
        <v>430194.47120075172</v>
      </c>
      <c r="V58" s="26">
        <f t="shared" si="0"/>
        <v>423012.8174076397</v>
      </c>
    </row>
    <row r="60" spans="1:22" ht="14.4" thickBot="1" x14ac:dyDescent="0.3">
      <c r="B60" s="2" t="s">
        <v>7</v>
      </c>
      <c r="L60" s="49"/>
      <c r="M60" s="49"/>
    </row>
    <row r="61" spans="1:22" x14ac:dyDescent="0.25">
      <c r="B61" s="57" t="s">
        <v>82</v>
      </c>
      <c r="C61" s="77">
        <f>C1</f>
        <v>2021</v>
      </c>
      <c r="D61" s="77">
        <f t="shared" ref="D61:V61" si="1">D1</f>
        <v>2022</v>
      </c>
      <c r="E61" s="77">
        <f t="shared" si="1"/>
        <v>2023</v>
      </c>
      <c r="F61" s="77">
        <f t="shared" si="1"/>
        <v>2024</v>
      </c>
      <c r="G61" s="77">
        <f t="shared" si="1"/>
        <v>2025</v>
      </c>
      <c r="H61" s="77">
        <f t="shared" si="1"/>
        <v>2026</v>
      </c>
      <c r="I61" s="77">
        <f t="shared" si="1"/>
        <v>2027</v>
      </c>
      <c r="J61" s="77">
        <f t="shared" si="1"/>
        <v>2028</v>
      </c>
      <c r="K61" s="77">
        <f t="shared" si="1"/>
        <v>2029</v>
      </c>
      <c r="L61" s="77">
        <f t="shared" si="1"/>
        <v>2030</v>
      </c>
      <c r="M61" s="77">
        <f t="shared" si="1"/>
        <v>2031</v>
      </c>
      <c r="N61" s="77">
        <f t="shared" si="1"/>
        <v>2032</v>
      </c>
      <c r="O61" s="77">
        <f t="shared" si="1"/>
        <v>2033</v>
      </c>
      <c r="P61" s="77">
        <f t="shared" si="1"/>
        <v>2034</v>
      </c>
      <c r="Q61" s="77">
        <f t="shared" si="1"/>
        <v>2035</v>
      </c>
      <c r="R61" s="77">
        <f t="shared" si="1"/>
        <v>2036</v>
      </c>
      <c r="S61" s="77">
        <f t="shared" si="1"/>
        <v>2037</v>
      </c>
      <c r="T61" s="77">
        <f t="shared" si="1"/>
        <v>2038</v>
      </c>
      <c r="U61" s="77">
        <f t="shared" si="1"/>
        <v>2039</v>
      </c>
      <c r="V61" s="77">
        <f t="shared" si="1"/>
        <v>2040</v>
      </c>
    </row>
    <row r="62" spans="1:22" x14ac:dyDescent="0.25">
      <c r="B62" s="36" t="s">
        <v>43</v>
      </c>
      <c r="C62" s="37">
        <f>SUMIF($B2:$B56,$B62,C$2:C$56)</f>
        <v>609439.12110527779</v>
      </c>
      <c r="D62" s="37">
        <f t="shared" ref="D62:V62" si="2">SUMIF($B2:$B56,$B62,D$2:D$56)</f>
        <v>519948.9128763667</v>
      </c>
      <c r="E62" s="37">
        <f t="shared" si="2"/>
        <v>425948.74252356874</v>
      </c>
      <c r="F62" s="37">
        <f t="shared" si="2"/>
        <v>330762.42415212019</v>
      </c>
      <c r="G62" s="37">
        <f t="shared" si="2"/>
        <v>230621.78307160601</v>
      </c>
      <c r="H62" s="37">
        <f t="shared" si="2"/>
        <v>126621.17546217027</v>
      </c>
      <c r="I62" s="37">
        <f t="shared" si="2"/>
        <v>18646.258919088054</v>
      </c>
      <c r="J62" s="37">
        <f t="shared" si="2"/>
        <v>-93420.338671942241</v>
      </c>
      <c r="K62" s="37">
        <f t="shared" si="2"/>
        <v>-209699.09458622185</v>
      </c>
      <c r="L62" s="37">
        <f t="shared" si="2"/>
        <v>-330313.66851764405</v>
      </c>
      <c r="M62" s="37">
        <f t="shared" si="2"/>
        <v>58852.169579852954</v>
      </c>
      <c r="N62" s="37">
        <f t="shared" si="2"/>
        <v>46303.42930802796</v>
      </c>
      <c r="O62" s="37">
        <f t="shared" si="2"/>
        <v>33503.714230766171</v>
      </c>
      <c r="P62" s="37">
        <f t="shared" si="2"/>
        <v>20448.004851959297</v>
      </c>
      <c r="Q62" s="37">
        <f t="shared" si="2"/>
        <v>7131.1812855761964</v>
      </c>
      <c r="R62" s="37">
        <f t="shared" si="2"/>
        <v>-6451.9787521342514</v>
      </c>
      <c r="S62" s="37">
        <f t="shared" si="2"/>
        <v>-20306.801990599371</v>
      </c>
      <c r="T62" s="37">
        <f t="shared" si="2"/>
        <v>-34438.721693833591</v>
      </c>
      <c r="U62" s="37">
        <f t="shared" si="2"/>
        <v>-48853.279791132431</v>
      </c>
      <c r="V62" s="37">
        <f t="shared" si="2"/>
        <v>-63556.129050377291</v>
      </c>
    </row>
    <row r="63" spans="1:22" x14ac:dyDescent="0.25">
      <c r="B63" s="36" t="s">
        <v>41</v>
      </c>
      <c r="C63" s="37">
        <f>SUMIF($B2:$B56,$B63,C$2:C$56)</f>
        <v>941302.60667333298</v>
      </c>
      <c r="D63" s="37">
        <f t="shared" ref="D63:V63" si="3">SUMIF($B2:$B56,$B63,D$2:D$56)</f>
        <v>717259.43297308381</v>
      </c>
      <c r="E63" s="37">
        <f t="shared" si="3"/>
        <v>593590.05382877064</v>
      </c>
      <c r="F63" s="37">
        <f t="shared" si="3"/>
        <v>388717.41040580696</v>
      </c>
      <c r="G63" s="37">
        <f t="shared" si="3"/>
        <v>466474.16585483303</v>
      </c>
      <c r="H63" s="37">
        <f t="shared" si="3"/>
        <v>412716.44129150582</v>
      </c>
      <c r="I63" s="37">
        <f t="shared" si="3"/>
        <v>363961.08296529512</v>
      </c>
      <c r="J63" s="37">
        <f t="shared" si="3"/>
        <v>419328.58300069306</v>
      </c>
      <c r="K63" s="37">
        <f t="shared" si="3"/>
        <v>418288.10647541087</v>
      </c>
      <c r="L63" s="37">
        <f t="shared" si="3"/>
        <v>417039.53464507207</v>
      </c>
      <c r="M63" s="37">
        <f t="shared" si="3"/>
        <v>425317.565880218</v>
      </c>
      <c r="N63" s="37">
        <f t="shared" si="3"/>
        <v>433761.1577400667</v>
      </c>
      <c r="O63" s="37">
        <f t="shared" si="3"/>
        <v>442373.62143711257</v>
      </c>
      <c r="P63" s="37">
        <f t="shared" si="3"/>
        <v>451158.33440809924</v>
      </c>
      <c r="Q63" s="37">
        <f t="shared" si="3"/>
        <v>460118.74163850571</v>
      </c>
      <c r="R63" s="37">
        <f t="shared" si="3"/>
        <v>469258.35701352014</v>
      </c>
      <c r="S63" s="37">
        <f t="shared" si="3"/>
        <v>478580.76469603507</v>
      </c>
      <c r="T63" s="37">
        <f t="shared" si="3"/>
        <v>488089.62053220026</v>
      </c>
      <c r="U63" s="37">
        <f t="shared" si="3"/>
        <v>497788.65348508867</v>
      </c>
      <c r="V63" s="37">
        <f t="shared" si="3"/>
        <v>507681.66709703486</v>
      </c>
    </row>
    <row r="64" spans="1:22" x14ac:dyDescent="0.25">
      <c r="B64" s="36" t="s">
        <v>40</v>
      </c>
      <c r="C64" s="37">
        <f>SUMIF($B2:$B56,$B64,C$2:C$56)</f>
        <v>14990.287088507932</v>
      </c>
      <c r="D64" s="37">
        <f t="shared" ref="D64:V64" si="4">SUMIF($B2:$B56,$B64,D$2:D$56)</f>
        <v>14790.422113933966</v>
      </c>
      <c r="E64" s="37">
        <f t="shared" si="4"/>
        <v>16801.29468917078</v>
      </c>
      <c r="F64" s="37">
        <f t="shared" si="4"/>
        <v>16738.941275205882</v>
      </c>
      <c r="G64" s="37">
        <f t="shared" si="4"/>
        <v>16670.797901372818</v>
      </c>
      <c r="H64" s="37">
        <f t="shared" si="4"/>
        <v>16596.657910642443</v>
      </c>
      <c r="I64" s="37">
        <f t="shared" si="4"/>
        <v>16516.3086956884</v>
      </c>
      <c r="J64" s="37">
        <f t="shared" si="4"/>
        <v>16429.531543538033</v>
      </c>
      <c r="K64" s="37">
        <f t="shared" si="4"/>
        <v>16336.101476389471</v>
      </c>
      <c r="L64" s="37">
        <f t="shared" si="4"/>
        <v>16235.787088503646</v>
      </c>
      <c r="M64" s="37">
        <f t="shared" si="4"/>
        <v>16389.268101968959</v>
      </c>
      <c r="N64" s="37">
        <f t="shared" si="4"/>
        <v>16545.818735703575</v>
      </c>
      <c r="O64" s="37">
        <f t="shared" si="4"/>
        <v>16705.500382112885</v>
      </c>
      <c r="P64" s="37">
        <f t="shared" si="4"/>
        <v>16868.37566145038</v>
      </c>
      <c r="Q64" s="37">
        <f t="shared" si="4"/>
        <v>17034.508446374624</v>
      </c>
      <c r="R64" s="37">
        <f t="shared" si="4"/>
        <v>17203.963886997357</v>
      </c>
      <c r="S64" s="37">
        <f t="shared" si="4"/>
        <v>17376.80843643254</v>
      </c>
      <c r="T64" s="37">
        <f t="shared" si="4"/>
        <v>17553.109876856433</v>
      </c>
      <c r="U64" s="37">
        <f t="shared" si="4"/>
        <v>17732.937346088795</v>
      </c>
      <c r="V64" s="37">
        <f t="shared" si="4"/>
        <v>17916.361364705808</v>
      </c>
    </row>
    <row r="65" spans="1:22" x14ac:dyDescent="0.25">
      <c r="B65" s="36" t="s">
        <v>80</v>
      </c>
      <c r="C65" s="37">
        <f>SUMIF($B2:$B56,$B65,C$2:C$56)</f>
        <v>0</v>
      </c>
      <c r="D65" s="37">
        <f t="shared" ref="D65:V65" si="5">SUMIF($B2:$B56,$B65,D$2:D$56)</f>
        <v>0</v>
      </c>
      <c r="E65" s="37">
        <f t="shared" si="5"/>
        <v>0</v>
      </c>
      <c r="F65" s="37">
        <f t="shared" si="5"/>
        <v>0</v>
      </c>
      <c r="G65" s="37">
        <f t="shared" si="5"/>
        <v>0</v>
      </c>
      <c r="H65" s="37">
        <f t="shared" si="5"/>
        <v>0</v>
      </c>
      <c r="I65" s="37">
        <f t="shared" si="5"/>
        <v>0</v>
      </c>
      <c r="J65" s="37">
        <f t="shared" si="5"/>
        <v>0</v>
      </c>
      <c r="K65" s="37">
        <f t="shared" si="5"/>
        <v>0</v>
      </c>
      <c r="L65" s="37">
        <f t="shared" si="5"/>
        <v>0</v>
      </c>
      <c r="M65" s="37">
        <f t="shared" si="5"/>
        <v>0</v>
      </c>
      <c r="N65" s="37">
        <f t="shared" si="5"/>
        <v>0</v>
      </c>
      <c r="O65" s="37">
        <f t="shared" si="5"/>
        <v>0</v>
      </c>
      <c r="P65" s="37">
        <f t="shared" si="5"/>
        <v>0</v>
      </c>
      <c r="Q65" s="37">
        <f t="shared" si="5"/>
        <v>0</v>
      </c>
      <c r="R65" s="37">
        <f t="shared" si="5"/>
        <v>0</v>
      </c>
      <c r="S65" s="37">
        <f t="shared" si="5"/>
        <v>0</v>
      </c>
      <c r="T65" s="37">
        <f t="shared" si="5"/>
        <v>0</v>
      </c>
      <c r="U65" s="37">
        <f t="shared" si="5"/>
        <v>0</v>
      </c>
      <c r="V65" s="37">
        <f t="shared" si="5"/>
        <v>0</v>
      </c>
    </row>
    <row r="66" spans="1:22" x14ac:dyDescent="0.25">
      <c r="B66" s="36" t="s">
        <v>44</v>
      </c>
      <c r="C66" s="37">
        <f>SUMIF($B2:$B56,$B66,C$2:C$56)</f>
        <v>0</v>
      </c>
      <c r="D66" s="37">
        <f t="shared" ref="D66:V66" si="6">SUMIF($B2:$B56,$B66,D$2:D$56)</f>
        <v>0</v>
      </c>
      <c r="E66" s="37">
        <f t="shared" si="6"/>
        <v>0</v>
      </c>
      <c r="F66" s="37">
        <f t="shared" si="6"/>
        <v>0</v>
      </c>
      <c r="G66" s="37">
        <f t="shared" si="6"/>
        <v>0</v>
      </c>
      <c r="H66" s="37">
        <f t="shared" si="6"/>
        <v>0</v>
      </c>
      <c r="I66" s="37">
        <f t="shared" si="6"/>
        <v>0</v>
      </c>
      <c r="J66" s="37">
        <f t="shared" si="6"/>
        <v>0</v>
      </c>
      <c r="K66" s="37">
        <f>SUMIF($B2:$B56,$B66,K$2:K$56)</f>
        <v>0</v>
      </c>
      <c r="L66" s="37">
        <f t="shared" si="6"/>
        <v>0</v>
      </c>
      <c r="M66" s="37">
        <f t="shared" si="6"/>
        <v>0</v>
      </c>
      <c r="N66" s="37">
        <f t="shared" si="6"/>
        <v>0</v>
      </c>
      <c r="O66" s="37">
        <f t="shared" si="6"/>
        <v>0</v>
      </c>
      <c r="P66" s="37">
        <f t="shared" si="6"/>
        <v>0</v>
      </c>
      <c r="Q66" s="37">
        <f t="shared" si="6"/>
        <v>0</v>
      </c>
      <c r="R66" s="37">
        <f t="shared" si="6"/>
        <v>0</v>
      </c>
      <c r="S66" s="37">
        <f t="shared" si="6"/>
        <v>0</v>
      </c>
      <c r="T66" s="37">
        <f t="shared" si="6"/>
        <v>0</v>
      </c>
      <c r="U66" s="37">
        <f t="shared" si="6"/>
        <v>0</v>
      </c>
      <c r="V66" s="37">
        <f t="shared" si="6"/>
        <v>0</v>
      </c>
    </row>
    <row r="67" spans="1:22" x14ac:dyDescent="0.25">
      <c r="B67" s="36" t="s">
        <v>81</v>
      </c>
      <c r="C67" s="37">
        <f>SUMIF($B2:$B56,$B67,C$2:C$56)</f>
        <v>0</v>
      </c>
      <c r="D67" s="37">
        <f t="shared" ref="D67:V67" si="7">SUMIF($B2:$B56,$B67,D$2:D$56)</f>
        <v>0</v>
      </c>
      <c r="E67" s="37">
        <f t="shared" si="7"/>
        <v>0</v>
      </c>
      <c r="F67" s="37">
        <f t="shared" si="7"/>
        <v>0</v>
      </c>
      <c r="G67" s="37">
        <f t="shared" si="7"/>
        <v>0</v>
      </c>
      <c r="H67" s="37">
        <f t="shared" si="7"/>
        <v>0</v>
      </c>
      <c r="I67" s="37">
        <f t="shared" si="7"/>
        <v>0</v>
      </c>
      <c r="J67" s="37">
        <f t="shared" si="7"/>
        <v>0</v>
      </c>
      <c r="K67" s="37">
        <f t="shared" si="7"/>
        <v>0</v>
      </c>
      <c r="L67" s="37">
        <f t="shared" si="7"/>
        <v>0</v>
      </c>
      <c r="M67" s="37">
        <f t="shared" si="7"/>
        <v>0</v>
      </c>
      <c r="N67" s="37">
        <f t="shared" si="7"/>
        <v>0</v>
      </c>
      <c r="O67" s="37">
        <f t="shared" si="7"/>
        <v>0</v>
      </c>
      <c r="P67" s="37">
        <f t="shared" si="7"/>
        <v>0</v>
      </c>
      <c r="Q67" s="37">
        <f t="shared" si="7"/>
        <v>0</v>
      </c>
      <c r="R67" s="37">
        <f t="shared" si="7"/>
        <v>0</v>
      </c>
      <c r="S67" s="37">
        <f t="shared" si="7"/>
        <v>0</v>
      </c>
      <c r="T67" s="37">
        <f t="shared" si="7"/>
        <v>0</v>
      </c>
      <c r="U67" s="37">
        <f t="shared" si="7"/>
        <v>0</v>
      </c>
      <c r="V67" s="37">
        <f t="shared" si="7"/>
        <v>0</v>
      </c>
    </row>
    <row r="68" spans="1:22" x14ac:dyDescent="0.25">
      <c r="B68" s="36" t="s">
        <v>42</v>
      </c>
      <c r="C68" s="37">
        <f>SUMIF($B2:$B56,$B68,C$2:C$56)</f>
        <v>1472.7862655555555</v>
      </c>
      <c r="D68" s="37">
        <f t="shared" ref="D68:V68" si="8">SUMIF($B2:$B56,$B68,D$2:D$56)</f>
        <v>1512.0012127777777</v>
      </c>
      <c r="E68" s="37">
        <f t="shared" si="8"/>
        <v>1460.5163599999998</v>
      </c>
      <c r="F68" s="37">
        <f t="shared" si="8"/>
        <v>1477.6676861111109</v>
      </c>
      <c r="G68" s="37">
        <f t="shared" si="8"/>
        <v>1442.2270488888887</v>
      </c>
      <c r="H68" s="37">
        <f t="shared" si="8"/>
        <v>1442.2270488888887</v>
      </c>
      <c r="I68" s="37">
        <f t="shared" si="8"/>
        <v>1442.2270488888887</v>
      </c>
      <c r="J68" s="37">
        <f t="shared" si="8"/>
        <v>1442.2270488888887</v>
      </c>
      <c r="K68" s="37">
        <f t="shared" si="8"/>
        <v>1442.2270488888887</v>
      </c>
      <c r="L68" s="37">
        <f t="shared" si="8"/>
        <v>1442.2270488888887</v>
      </c>
      <c r="M68" s="37">
        <f t="shared" si="8"/>
        <v>1442.2270488888887</v>
      </c>
      <c r="N68" s="37">
        <f t="shared" si="8"/>
        <v>1442.2270488888887</v>
      </c>
      <c r="O68" s="37">
        <f t="shared" si="8"/>
        <v>1442.2270488888887</v>
      </c>
      <c r="P68" s="37">
        <f t="shared" si="8"/>
        <v>1442.2270488888887</v>
      </c>
      <c r="Q68" s="37">
        <f t="shared" si="8"/>
        <v>1442.2270488888887</v>
      </c>
      <c r="R68" s="37">
        <f t="shared" si="8"/>
        <v>1442.2270488888887</v>
      </c>
      <c r="S68" s="37">
        <f t="shared" si="8"/>
        <v>1442.2270488888887</v>
      </c>
      <c r="T68" s="37">
        <f t="shared" si="8"/>
        <v>1442.2270488888887</v>
      </c>
      <c r="U68" s="37">
        <f t="shared" si="8"/>
        <v>1442.2270488888887</v>
      </c>
      <c r="V68" s="37">
        <f t="shared" si="8"/>
        <v>1442.2270488888887</v>
      </c>
    </row>
    <row r="69" spans="1:22" ht="14.4" thickBot="1" x14ac:dyDescent="0.3">
      <c r="B69" s="42" t="s">
        <v>45</v>
      </c>
      <c r="C69" s="37">
        <f>SUMIF($B2:$B56,$B69,C$2:C$56)</f>
        <v>64004.337319000013</v>
      </c>
      <c r="D69" s="37">
        <f t="shared" ref="D69:V69" si="9">SUMIF($B2:$B56,$B69,D$2:D$56)</f>
        <v>127401.18589624894</v>
      </c>
      <c r="E69" s="37">
        <f t="shared" si="9"/>
        <v>100146.86040297127</v>
      </c>
      <c r="F69" s="37">
        <f t="shared" si="9"/>
        <v>71861.737723627579</v>
      </c>
      <c r="G69" s="37">
        <f t="shared" si="9"/>
        <v>42433.707937305822</v>
      </c>
      <c r="H69" s="37">
        <f t="shared" si="9"/>
        <v>109206.69086227258</v>
      </c>
      <c r="I69" s="37">
        <f t="shared" si="9"/>
        <v>79379.88279360767</v>
      </c>
      <c r="J69" s="37">
        <f t="shared" si="9"/>
        <v>48352.101260985946</v>
      </c>
      <c r="K69" s="37">
        <f t="shared" si="9"/>
        <v>16087.238049076564</v>
      </c>
      <c r="L69" s="37">
        <f t="shared" si="9"/>
        <v>-17451.778996678913</v>
      </c>
      <c r="M69" s="37">
        <f t="shared" si="9"/>
        <v>-19589.891333345819</v>
      </c>
      <c r="N69" s="37">
        <f t="shared" si="9"/>
        <v>-21770.765916746052</v>
      </c>
      <c r="O69" s="37">
        <f t="shared" si="9"/>
        <v>-23995.257991814331</v>
      </c>
      <c r="P69" s="37">
        <f t="shared" si="9"/>
        <v>-26264.239908383941</v>
      </c>
      <c r="Q69" s="37">
        <f t="shared" si="9"/>
        <v>-28578.601463284969</v>
      </c>
      <c r="R69" s="37">
        <f t="shared" si="9"/>
        <v>-30939.25024928397</v>
      </c>
      <c r="S69" s="37">
        <f t="shared" si="9"/>
        <v>-33347.112011003002</v>
      </c>
      <c r="T69" s="37">
        <f t="shared" si="9"/>
        <v>-35803.131007956399</v>
      </c>
      <c r="U69" s="37">
        <f t="shared" si="9"/>
        <v>-38308.270384848845</v>
      </c>
      <c r="V69" s="37">
        <f t="shared" si="9"/>
        <v>-40863.512549279156</v>
      </c>
    </row>
    <row r="70" spans="1:22" x14ac:dyDescent="0.25">
      <c r="L70" s="49"/>
      <c r="M70" s="49"/>
    </row>
    <row r="71" spans="1:22" x14ac:dyDescent="0.25">
      <c r="C71" s="26">
        <f>SUM(C62:C69)</f>
        <v>1631209.1384516743</v>
      </c>
      <c r="D71" s="26">
        <f t="shared" ref="D71:V71" si="10">SUM(D62:D69)</f>
        <v>1380911.9550724113</v>
      </c>
      <c r="E71" s="26">
        <f t="shared" si="10"/>
        <v>1137947.4678044815</v>
      </c>
      <c r="F71" s="26">
        <f t="shared" si="10"/>
        <v>809558.1812428718</v>
      </c>
      <c r="G71" s="26">
        <f t="shared" si="10"/>
        <v>757642.68181400653</v>
      </c>
      <c r="H71" s="26">
        <f t="shared" si="10"/>
        <v>666583.19257548009</v>
      </c>
      <c r="I71" s="26">
        <f t="shared" si="10"/>
        <v>479945.76042256807</v>
      </c>
      <c r="J71" s="26">
        <f t="shared" si="10"/>
        <v>392132.10418216366</v>
      </c>
      <c r="K71" s="26">
        <f t="shared" si="10"/>
        <v>242454.57846354396</v>
      </c>
      <c r="L71" s="111">
        <f t="shared" si="10"/>
        <v>86952.101268141647</v>
      </c>
      <c r="M71" s="111">
        <f t="shared" si="10"/>
        <v>482411.33927758294</v>
      </c>
      <c r="N71" s="26">
        <f t="shared" si="10"/>
        <v>476281.86691594106</v>
      </c>
      <c r="O71" s="26">
        <f t="shared" si="10"/>
        <v>470029.80510706612</v>
      </c>
      <c r="P71" s="26">
        <f t="shared" si="10"/>
        <v>463652.70206201385</v>
      </c>
      <c r="Q71" s="26">
        <f t="shared" si="10"/>
        <v>457148.05695606041</v>
      </c>
      <c r="R71" s="26">
        <f t="shared" si="10"/>
        <v>450513.31894798815</v>
      </c>
      <c r="S71" s="26">
        <f t="shared" si="10"/>
        <v>443745.8861797541</v>
      </c>
      <c r="T71" s="26">
        <f t="shared" si="10"/>
        <v>436843.10475615558</v>
      </c>
      <c r="U71" s="26">
        <f t="shared" si="10"/>
        <v>429802.2677040851</v>
      </c>
      <c r="V71" s="26">
        <f t="shared" si="10"/>
        <v>422620.61391097313</v>
      </c>
    </row>
    <row r="72" spans="1:22" x14ac:dyDescent="0.25">
      <c r="C72" s="96"/>
      <c r="D72" s="96"/>
      <c r="E72" s="96"/>
      <c r="F72" s="96"/>
      <c r="G72" s="96"/>
      <c r="H72" s="96"/>
      <c r="I72" s="96"/>
      <c r="J72" s="96"/>
      <c r="K72" s="96"/>
      <c r="L72" s="110"/>
      <c r="M72" s="110"/>
      <c r="N72" s="96"/>
      <c r="O72" s="96"/>
      <c r="P72" s="96"/>
      <c r="Q72" s="96"/>
      <c r="R72" s="96"/>
      <c r="S72" s="96"/>
      <c r="T72" s="96"/>
      <c r="U72" s="96"/>
      <c r="V72" s="96"/>
    </row>
    <row r="73" spans="1:22" ht="14.4" thickBot="1" x14ac:dyDescent="0.3">
      <c r="B73" s="2" t="s">
        <v>76</v>
      </c>
      <c r="L73" s="49"/>
      <c r="M73" s="49"/>
    </row>
    <row r="74" spans="1:22" x14ac:dyDescent="0.25">
      <c r="B74" s="57" t="s">
        <v>82</v>
      </c>
      <c r="C74" s="77">
        <v>2021</v>
      </c>
      <c r="D74" s="77">
        <v>2022</v>
      </c>
      <c r="E74" s="77">
        <v>2023</v>
      </c>
      <c r="F74" s="77">
        <v>2024</v>
      </c>
      <c r="G74" s="77">
        <v>2025</v>
      </c>
      <c r="H74" s="77">
        <v>2026</v>
      </c>
      <c r="I74" s="77">
        <v>2027</v>
      </c>
      <c r="J74" s="77">
        <v>2028</v>
      </c>
      <c r="K74" s="77">
        <v>2029</v>
      </c>
      <c r="L74" s="77">
        <v>2030</v>
      </c>
      <c r="M74" s="77">
        <v>2031</v>
      </c>
      <c r="N74" s="77">
        <v>2032</v>
      </c>
      <c r="O74" s="77">
        <v>2033</v>
      </c>
      <c r="P74" s="77">
        <v>2034</v>
      </c>
      <c r="Q74" s="77">
        <v>2035</v>
      </c>
      <c r="R74" s="77">
        <v>2036</v>
      </c>
      <c r="S74" s="77">
        <v>2037</v>
      </c>
      <c r="T74" s="77">
        <v>2038</v>
      </c>
      <c r="U74" s="77">
        <v>2039</v>
      </c>
      <c r="V74" s="77">
        <v>2040</v>
      </c>
    </row>
    <row r="75" spans="1:22" x14ac:dyDescent="0.25">
      <c r="B75" s="36" t="s">
        <v>95</v>
      </c>
      <c r="C75" s="109">
        <f>SUM(C2:C48)</f>
        <v>1752490.7143116661</v>
      </c>
      <c r="D75" s="109">
        <f t="shared" ref="D75:V75" si="11">SUM(D2:D48)</f>
        <v>1484345.8994103172</v>
      </c>
      <c r="E75" s="109">
        <f t="shared" si="11"/>
        <v>1340904.3555357142</v>
      </c>
      <c r="F75" s="109">
        <f t="shared" si="11"/>
        <v>1077474.1436682539</v>
      </c>
      <c r="G75" s="109">
        <f t="shared" si="11"/>
        <v>1075186.4077471427</v>
      </c>
      <c r="H75" s="109">
        <f t="shared" si="11"/>
        <v>936868.51792507921</v>
      </c>
      <c r="I75" s="109">
        <f t="shared" si="11"/>
        <v>801695.03898690466</v>
      </c>
      <c r="J75" s="109">
        <f t="shared" si="11"/>
        <v>797898.18758468248</v>
      </c>
      <c r="K75" s="109">
        <f t="shared" si="11"/>
        <v>797898.18758468248</v>
      </c>
      <c r="L75" s="109">
        <f t="shared" si="11"/>
        <v>797898.18758468248</v>
      </c>
      <c r="M75" s="109">
        <f t="shared" si="11"/>
        <v>789277.16085634916</v>
      </c>
      <c r="N75" s="109">
        <f t="shared" si="11"/>
        <v>789277.16085634916</v>
      </c>
      <c r="O75" s="109">
        <f t="shared" si="11"/>
        <v>789277.16085634916</v>
      </c>
      <c r="P75" s="109">
        <f t="shared" si="11"/>
        <v>789277.16085634916</v>
      </c>
      <c r="Q75" s="109">
        <f t="shared" si="11"/>
        <v>789277.16085634916</v>
      </c>
      <c r="R75" s="109">
        <f t="shared" si="11"/>
        <v>789277.16085634916</v>
      </c>
      <c r="S75" s="109">
        <f t="shared" si="11"/>
        <v>789277.16085634916</v>
      </c>
      <c r="T75" s="109">
        <f t="shared" si="11"/>
        <v>789277.16085634916</v>
      </c>
      <c r="U75" s="109">
        <f t="shared" si="11"/>
        <v>789277.16085634916</v>
      </c>
      <c r="V75" s="109">
        <f t="shared" si="11"/>
        <v>789277.16085634916</v>
      </c>
    </row>
    <row r="76" spans="1:22" x14ac:dyDescent="0.25">
      <c r="B76" s="36" t="s">
        <v>96</v>
      </c>
      <c r="C76" s="98">
        <f>SUM(C49:C56)</f>
        <v>-120773.43581276984</v>
      </c>
      <c r="D76" s="98">
        <f t="shared" ref="D76:V76" si="12">SUM(D49:D56)</f>
        <v>-103056.35294901711</v>
      </c>
      <c r="E76" s="98">
        <f t="shared" si="12"/>
        <v>-202649.63912012146</v>
      </c>
      <c r="F76" s="98">
        <f t="shared" si="12"/>
        <v>-267523.75892871543</v>
      </c>
      <c r="G76" s="98">
        <f t="shared" si="12"/>
        <v>-317151.5224364695</v>
      </c>
      <c r="H76" s="98">
        <f t="shared" si="12"/>
        <v>-269893.12185293261</v>
      </c>
      <c r="I76" s="98">
        <f t="shared" si="12"/>
        <v>-321357.07506766991</v>
      </c>
      <c r="J76" s="98">
        <f t="shared" si="12"/>
        <v>-405373.87990585214</v>
      </c>
      <c r="K76" s="98">
        <f t="shared" si="12"/>
        <v>-555051.40562447184</v>
      </c>
      <c r="L76" s="98">
        <f t="shared" si="12"/>
        <v>-710553.88281987421</v>
      </c>
      <c r="M76" s="98">
        <f t="shared" si="12"/>
        <v>-306473.61808209954</v>
      </c>
      <c r="N76" s="98">
        <f t="shared" si="12"/>
        <v>-312603.09044374141</v>
      </c>
      <c r="O76" s="98">
        <f t="shared" si="12"/>
        <v>-318855.1522526163</v>
      </c>
      <c r="P76" s="98">
        <f t="shared" si="12"/>
        <v>-325232.25529766863</v>
      </c>
      <c r="Q76" s="98">
        <f t="shared" si="12"/>
        <v>-331736.90040362207</v>
      </c>
      <c r="R76" s="98">
        <f t="shared" si="12"/>
        <v>-338371.63841169432</v>
      </c>
      <c r="S76" s="98">
        <f t="shared" si="12"/>
        <v>-345139.07117992837</v>
      </c>
      <c r="T76" s="98">
        <f t="shared" si="12"/>
        <v>-352041.8526035269</v>
      </c>
      <c r="U76" s="98">
        <f t="shared" si="12"/>
        <v>-359082.68965559744</v>
      </c>
      <c r="V76" s="98">
        <f t="shared" si="12"/>
        <v>-366264.34344870935</v>
      </c>
    </row>
    <row r="78" spans="1:22" x14ac:dyDescent="0.25">
      <c r="C78" s="26">
        <f>SUM(C75:C76)</f>
        <v>1631717.2784988962</v>
      </c>
      <c r="D78" s="26">
        <f t="shared" ref="D78:V78" si="13">SUM(D75:D76)</f>
        <v>1381289.5464613</v>
      </c>
      <c r="E78" s="26">
        <f t="shared" si="13"/>
        <v>1138254.7164155927</v>
      </c>
      <c r="F78" s="26">
        <f t="shared" si="13"/>
        <v>809950.38473953842</v>
      </c>
      <c r="G78" s="26">
        <f t="shared" si="13"/>
        <v>758034.88531067315</v>
      </c>
      <c r="H78" s="26">
        <f t="shared" si="13"/>
        <v>666975.3960721466</v>
      </c>
      <c r="I78" s="26">
        <f t="shared" si="13"/>
        <v>480337.96391923475</v>
      </c>
      <c r="J78" s="26">
        <f t="shared" si="13"/>
        <v>392524.30767883034</v>
      </c>
      <c r="K78" s="26">
        <f t="shared" si="13"/>
        <v>242846.78196021065</v>
      </c>
      <c r="L78" s="26">
        <f t="shared" si="13"/>
        <v>87344.304764808272</v>
      </c>
      <c r="M78" s="26">
        <f t="shared" si="13"/>
        <v>482803.54277424962</v>
      </c>
      <c r="N78" s="26">
        <f t="shared" si="13"/>
        <v>476674.07041260775</v>
      </c>
      <c r="O78" s="26">
        <f t="shared" si="13"/>
        <v>470422.00860373286</v>
      </c>
      <c r="P78" s="26">
        <f t="shared" si="13"/>
        <v>464044.90555868053</v>
      </c>
      <c r="Q78" s="26">
        <f t="shared" si="13"/>
        <v>457540.26045272709</v>
      </c>
      <c r="R78" s="26">
        <f t="shared" si="13"/>
        <v>450905.52244465484</v>
      </c>
      <c r="S78" s="26">
        <f t="shared" si="13"/>
        <v>444138.08967642079</v>
      </c>
      <c r="T78" s="26">
        <f t="shared" si="13"/>
        <v>437235.30825282226</v>
      </c>
      <c r="U78" s="26">
        <f t="shared" si="13"/>
        <v>430194.47120075172</v>
      </c>
      <c r="V78" s="26">
        <f t="shared" si="13"/>
        <v>423012.81740763981</v>
      </c>
    </row>
    <row r="80" spans="1:22" x14ac:dyDescent="0.25">
      <c r="A80" s="30" t="s">
        <v>16</v>
      </c>
      <c r="B80" s="30"/>
      <c r="C80" s="30">
        <v>2021</v>
      </c>
      <c r="D80" s="31">
        <v>2022</v>
      </c>
      <c r="E80" s="30">
        <v>2023</v>
      </c>
      <c r="F80" s="31">
        <v>2024</v>
      </c>
      <c r="G80" s="30">
        <v>2025</v>
      </c>
      <c r="H80" s="31">
        <v>2026</v>
      </c>
      <c r="I80" s="30">
        <v>2027</v>
      </c>
      <c r="J80" s="31">
        <v>2028</v>
      </c>
      <c r="K80" s="30">
        <v>2029</v>
      </c>
      <c r="L80" s="31">
        <v>2030</v>
      </c>
      <c r="M80" s="30">
        <v>2031</v>
      </c>
      <c r="N80" s="31">
        <v>2032</v>
      </c>
      <c r="O80" s="30">
        <v>2033</v>
      </c>
      <c r="P80" s="31">
        <v>2034</v>
      </c>
      <c r="Q80" s="30">
        <v>2035</v>
      </c>
      <c r="R80" s="31">
        <v>2036</v>
      </c>
      <c r="S80" s="30">
        <v>2037</v>
      </c>
      <c r="T80" s="31">
        <v>2038</v>
      </c>
      <c r="U80" s="30">
        <v>2039</v>
      </c>
      <c r="V80" s="31">
        <v>2040</v>
      </c>
    </row>
    <row r="81" spans="1:22" x14ac:dyDescent="0.25">
      <c r="A81" s="32" t="s">
        <v>47</v>
      </c>
      <c r="B81" s="33" t="s">
        <v>41</v>
      </c>
      <c r="C81" s="108">
        <f>IFERROR(lifespans_all!C80*DTE_mission_minutes!C2,"-")</f>
        <v>133409.35004928565</v>
      </c>
      <c r="D81" s="108">
        <f>IFERROR(lifespans_all!D80*DTE_mission_minutes!D2,"-")</f>
        <v>133409.35004928565</v>
      </c>
      <c r="E81" s="108">
        <f>IFERROR(lifespans_all!E80*DTE_mission_minutes!E2,"-")</f>
        <v>0</v>
      </c>
      <c r="F81" s="108">
        <f>IFERROR(lifespans_all!F80*DTE_mission_minutes!F2,"-")</f>
        <v>0</v>
      </c>
      <c r="G81" s="108">
        <f>IFERROR(lifespans_all!G80*DTE_mission_minutes!G2,"-")</f>
        <v>0</v>
      </c>
      <c r="H81" s="108">
        <f>IFERROR(lifespans_all!H80*DTE_mission_minutes!H2,"-")</f>
        <v>0</v>
      </c>
      <c r="I81" s="108">
        <f>IFERROR(lifespans_all!I80*DTE_mission_minutes!I2,"-")</f>
        <v>0</v>
      </c>
      <c r="J81" s="108">
        <f>IFERROR(lifespans_all!J80*DTE_mission_minutes!J2,"-")</f>
        <v>0</v>
      </c>
      <c r="K81" s="108">
        <f>IFERROR(lifespans_all!K80*DTE_mission_minutes!K2,"-")</f>
        <v>0</v>
      </c>
      <c r="L81" s="108">
        <f>IFERROR(lifespans_all!L80*DTE_mission_minutes!L2,"-")</f>
        <v>0</v>
      </c>
      <c r="M81" s="108">
        <f>IFERROR(lifespans_all!M80*DTE_mission_minutes!M2,"-")</f>
        <v>0</v>
      </c>
      <c r="N81" s="108">
        <f>IFERROR(lifespans_all!N80*DTE_mission_minutes!N2,"-")</f>
        <v>0</v>
      </c>
      <c r="O81" s="108">
        <f>IFERROR(lifespans_all!O80*DTE_mission_minutes!O2,"-")</f>
        <v>0</v>
      </c>
      <c r="P81" s="108">
        <f>IFERROR(lifespans_all!P80*DTE_mission_minutes!P2,"-")</f>
        <v>0</v>
      </c>
      <c r="Q81" s="108">
        <f>IFERROR(lifespans_all!Q80*DTE_mission_minutes!Q2,"-")</f>
        <v>0</v>
      </c>
      <c r="R81" s="108">
        <f>IFERROR(lifespans_all!R80*DTE_mission_minutes!R2,"-")</f>
        <v>0</v>
      </c>
      <c r="S81" s="108">
        <f>IFERROR(lifespans_all!S80*DTE_mission_minutes!S2,"-")</f>
        <v>0</v>
      </c>
      <c r="T81" s="108">
        <f>IFERROR(lifespans_all!T80*DTE_mission_minutes!T2,"-")</f>
        <v>0</v>
      </c>
      <c r="U81" s="108">
        <f>IFERROR(lifespans_all!U80*DTE_mission_minutes!U2,"-")</f>
        <v>0</v>
      </c>
      <c r="V81" s="108">
        <f>IFERROR(lifespans_all!V80*DTE_mission_minutes!V2,"-")</f>
        <v>0</v>
      </c>
    </row>
    <row r="82" spans="1:22" x14ac:dyDescent="0.25">
      <c r="A82" s="32" t="s">
        <v>17</v>
      </c>
      <c r="B82" s="33" t="s">
        <v>41</v>
      </c>
      <c r="C82" s="108">
        <f>IFERROR(lifespans_all!C81*DTE_mission_minutes!C3,"-")</f>
        <v>2249.4702694444441</v>
      </c>
      <c r="D82" s="108">
        <f>IFERROR(lifespans_all!D81*DTE_mission_minutes!D3,"-")</f>
        <v>1189.7750000000001</v>
      </c>
      <c r="E82" s="108">
        <f>IFERROR(lifespans_all!E81*DTE_mission_minutes!E3,"-")</f>
        <v>649.57638888888891</v>
      </c>
      <c r="F82" s="108">
        <f>IFERROR(lifespans_all!F81*DTE_mission_minutes!F3,"-")</f>
        <v>1663.1641649999997</v>
      </c>
      <c r="G82" s="108">
        <f>IFERROR(lifespans_all!G81*DTE_mission_minutes!G3,"-")</f>
        <v>0</v>
      </c>
      <c r="H82" s="108">
        <f>IFERROR(lifespans_all!H81*DTE_mission_minutes!H3,"-")</f>
        <v>0</v>
      </c>
      <c r="I82" s="108">
        <f>IFERROR(lifespans_all!I81*DTE_mission_minutes!I3,"-")</f>
        <v>0</v>
      </c>
      <c r="J82" s="108">
        <f>IFERROR(lifespans_all!J81*DTE_mission_minutes!J3,"-")</f>
        <v>0</v>
      </c>
      <c r="K82" s="108">
        <f>IFERROR(lifespans_all!K81*DTE_mission_minutes!K3,"-")</f>
        <v>0</v>
      </c>
      <c r="L82" s="108">
        <f>IFERROR(lifespans_all!L81*DTE_mission_minutes!L3,"-")</f>
        <v>0</v>
      </c>
      <c r="M82" s="108">
        <f>IFERROR(lifespans_all!M81*DTE_mission_minutes!M3,"-")</f>
        <v>0</v>
      </c>
      <c r="N82" s="108">
        <f>IFERROR(lifespans_all!N81*DTE_mission_minutes!N3,"-")</f>
        <v>0</v>
      </c>
      <c r="O82" s="108">
        <f>IFERROR(lifespans_all!O81*DTE_mission_minutes!O3,"-")</f>
        <v>0</v>
      </c>
      <c r="P82" s="108">
        <f>IFERROR(lifespans_all!P81*DTE_mission_minutes!P3,"-")</f>
        <v>0</v>
      </c>
      <c r="Q82" s="108">
        <f>IFERROR(lifespans_all!Q81*DTE_mission_minutes!Q3,"-")</f>
        <v>0</v>
      </c>
      <c r="R82" s="108">
        <f>IFERROR(lifespans_all!R81*DTE_mission_minutes!R3,"-")</f>
        <v>0</v>
      </c>
      <c r="S82" s="108">
        <f>IFERROR(lifespans_all!S81*DTE_mission_minutes!S3,"-")</f>
        <v>0</v>
      </c>
      <c r="T82" s="108">
        <f>IFERROR(lifespans_all!T81*DTE_mission_minutes!T3,"-")</f>
        <v>0</v>
      </c>
      <c r="U82" s="108">
        <f>IFERROR(lifespans_all!U81*DTE_mission_minutes!U3,"-")</f>
        <v>0</v>
      </c>
      <c r="V82" s="108">
        <f>IFERROR(lifespans_all!V81*DTE_mission_minutes!V3,"-")</f>
        <v>0</v>
      </c>
    </row>
    <row r="83" spans="1:22" x14ac:dyDescent="0.25">
      <c r="A83" s="32" t="s">
        <v>49</v>
      </c>
      <c r="B83" s="33" t="s">
        <v>41</v>
      </c>
      <c r="C83" s="108">
        <f>IFERROR(lifespans_all!C82*DTE_mission_minutes!C4,"-")</f>
        <v>1151.5091666666667</v>
      </c>
      <c r="D83" s="108">
        <f>IFERROR(lifespans_all!D82*DTE_mission_minutes!D4,"-")</f>
        <v>1164.4527777777778</v>
      </c>
      <c r="E83" s="108">
        <f>IFERROR(lifespans_all!E82*DTE_mission_minutes!E4,"-")</f>
        <v>862.00805555555553</v>
      </c>
      <c r="F83" s="108">
        <f>IFERROR(lifespans_all!F82*DTE_mission_minutes!F4,"-")</f>
        <v>1093.0107777777775</v>
      </c>
      <c r="G83" s="108">
        <f>IFERROR(lifespans_all!G82*DTE_mission_minutes!G4,"-")</f>
        <v>1093.0107777777775</v>
      </c>
      <c r="H83" s="108">
        <f>IFERROR(lifespans_all!H82*DTE_mission_minutes!H4,"-")</f>
        <v>1093.0107777777775</v>
      </c>
      <c r="I83" s="108">
        <f>IFERROR(lifespans_all!I82*DTE_mission_minutes!I4,"-")</f>
        <v>0</v>
      </c>
      <c r="J83" s="108">
        <f>IFERROR(lifespans_all!J82*DTE_mission_minutes!J4,"-")</f>
        <v>0</v>
      </c>
      <c r="K83" s="108">
        <f>IFERROR(lifespans_all!K82*DTE_mission_minutes!K4,"-")</f>
        <v>0</v>
      </c>
      <c r="L83" s="108">
        <f>IFERROR(lifespans_all!L82*DTE_mission_minutes!L4,"-")</f>
        <v>0</v>
      </c>
      <c r="M83" s="108">
        <f>IFERROR(lifespans_all!M82*DTE_mission_minutes!M4,"-")</f>
        <v>0</v>
      </c>
      <c r="N83" s="108">
        <f>IFERROR(lifespans_all!N82*DTE_mission_minutes!N4,"-")</f>
        <v>0</v>
      </c>
      <c r="O83" s="108">
        <f>IFERROR(lifespans_all!O82*DTE_mission_minutes!O4,"-")</f>
        <v>0</v>
      </c>
      <c r="P83" s="108">
        <f>IFERROR(lifespans_all!P82*DTE_mission_minutes!P4,"-")</f>
        <v>0</v>
      </c>
      <c r="Q83" s="108">
        <f>IFERROR(lifespans_all!Q82*DTE_mission_minutes!Q4,"-")</f>
        <v>0</v>
      </c>
      <c r="R83" s="108">
        <f>IFERROR(lifespans_all!R82*DTE_mission_minutes!R4,"-")</f>
        <v>0</v>
      </c>
      <c r="S83" s="108">
        <f>IFERROR(lifespans_all!S82*DTE_mission_minutes!S4,"-")</f>
        <v>0</v>
      </c>
      <c r="T83" s="108">
        <f>IFERROR(lifespans_all!T82*DTE_mission_minutes!T4,"-")</f>
        <v>0</v>
      </c>
      <c r="U83" s="108">
        <f>IFERROR(lifespans_all!U82*DTE_mission_minutes!U4,"-")</f>
        <v>0</v>
      </c>
      <c r="V83" s="108">
        <f>IFERROR(lifespans_all!V82*DTE_mission_minutes!V4,"-")</f>
        <v>0</v>
      </c>
    </row>
    <row r="84" spans="1:22" x14ac:dyDescent="0.25">
      <c r="A84" s="32" t="s">
        <v>50</v>
      </c>
      <c r="B84" s="39" t="s">
        <v>43</v>
      </c>
      <c r="C84" s="108">
        <f>IFERROR(lifespans_all!C83*DTE_mission_minutes!C5,"-")</f>
        <v>171572.29579277776</v>
      </c>
      <c r="D84" s="108">
        <f>IFERROR(lifespans_all!D83*DTE_mission_minutes!D5,"-")</f>
        <v>171572.29579277776</v>
      </c>
      <c r="E84" s="108">
        <f>IFERROR(lifespans_all!E83*DTE_mission_minutes!E5,"-")</f>
        <v>171572.29579277776</v>
      </c>
      <c r="F84" s="108">
        <f>IFERROR(lifespans_all!F83*DTE_mission_minutes!F5,"-")</f>
        <v>171572.29579277776</v>
      </c>
      <c r="G84" s="108">
        <f>IFERROR(lifespans_all!G83*DTE_mission_minutes!G5,"-")</f>
        <v>171572.29579277776</v>
      </c>
      <c r="H84" s="108">
        <f>IFERROR(lifespans_all!H83*DTE_mission_minutes!H5,"-")</f>
        <v>171572.29579277776</v>
      </c>
      <c r="I84" s="108">
        <f>IFERROR(lifespans_all!I83*DTE_mission_minutes!I5,"-")</f>
        <v>171572.29579277776</v>
      </c>
      <c r="J84" s="108">
        <f>IFERROR(lifespans_all!J83*DTE_mission_minutes!J5,"-")</f>
        <v>171572.29579277776</v>
      </c>
      <c r="K84" s="108">
        <f>IFERROR(lifespans_all!K83*DTE_mission_minutes!K5,"-")</f>
        <v>171572.29579277776</v>
      </c>
      <c r="L84" s="108">
        <f>IFERROR(lifespans_all!L83*DTE_mission_minutes!L5,"-")</f>
        <v>171572.29579277776</v>
      </c>
      <c r="M84" s="108">
        <f>IFERROR(lifespans_all!M83*DTE_mission_minutes!M5,"-")</f>
        <v>171572.29579277776</v>
      </c>
      <c r="N84" s="108">
        <f>IFERROR(lifespans_all!N83*DTE_mission_minutes!N5,"-")</f>
        <v>171572.29579277776</v>
      </c>
      <c r="O84" s="108">
        <f>IFERROR(lifespans_all!O83*DTE_mission_minutes!O5,"-")</f>
        <v>171572.29579277776</v>
      </c>
      <c r="P84" s="108">
        <f>IFERROR(lifespans_all!P83*DTE_mission_minutes!P5,"-")</f>
        <v>171572.29579277776</v>
      </c>
      <c r="Q84" s="108">
        <f>IFERROR(lifespans_all!Q83*DTE_mission_minutes!Q5,"-")</f>
        <v>171572.29579277776</v>
      </c>
      <c r="R84" s="108">
        <f>IFERROR(lifespans_all!R83*DTE_mission_minutes!R5,"-")</f>
        <v>171572.29579277776</v>
      </c>
      <c r="S84" s="108">
        <f>IFERROR(lifespans_all!S83*DTE_mission_minutes!S5,"-")</f>
        <v>171572.29579277776</v>
      </c>
      <c r="T84" s="108">
        <f>IFERROR(lifespans_all!T83*DTE_mission_minutes!T5,"-")</f>
        <v>171572.29579277776</v>
      </c>
      <c r="U84" s="108">
        <f>IFERROR(lifespans_all!U83*DTE_mission_minutes!U5,"-")</f>
        <v>171572.29579277776</v>
      </c>
      <c r="V84" s="108">
        <f>IFERROR(lifespans_all!V83*DTE_mission_minutes!V5,"-")</f>
        <v>171572.29579277776</v>
      </c>
    </row>
    <row r="85" spans="1:22" x14ac:dyDescent="0.25">
      <c r="A85" s="32" t="s">
        <v>51</v>
      </c>
      <c r="B85" s="40" t="s">
        <v>42</v>
      </c>
      <c r="C85" s="108">
        <f>IFERROR(lifespans_all!C84*DTE_mission_minutes!C6,"-")</f>
        <v>30.559216666666664</v>
      </c>
      <c r="D85" s="108">
        <f>IFERROR(lifespans_all!D84*DTE_mission_minutes!D6,"-")</f>
        <v>69.774163888888879</v>
      </c>
      <c r="E85" s="108">
        <f>IFERROR(lifespans_all!E84*DTE_mission_minutes!E6,"-")</f>
        <v>18.289311111111111</v>
      </c>
      <c r="F85" s="108">
        <f>IFERROR(lifespans_all!F84*DTE_mission_minutes!F6,"-")</f>
        <v>35.440637222222215</v>
      </c>
      <c r="G85" s="108">
        <f>IFERROR(lifespans_all!G84*DTE_mission_minutes!G6,"-")</f>
        <v>0</v>
      </c>
      <c r="H85" s="108">
        <f>IFERROR(lifespans_all!H84*DTE_mission_minutes!H6,"-")</f>
        <v>0</v>
      </c>
      <c r="I85" s="108">
        <f>IFERROR(lifespans_all!I84*DTE_mission_minutes!I6,"-")</f>
        <v>0</v>
      </c>
      <c r="J85" s="108">
        <f>IFERROR(lifespans_all!J84*DTE_mission_minutes!J6,"-")</f>
        <v>0</v>
      </c>
      <c r="K85" s="108">
        <f>IFERROR(lifespans_all!K84*DTE_mission_minutes!K6,"-")</f>
        <v>0</v>
      </c>
      <c r="L85" s="108">
        <f>IFERROR(lifespans_all!L84*DTE_mission_minutes!L6,"-")</f>
        <v>0</v>
      </c>
      <c r="M85" s="108">
        <f>IFERROR(lifespans_all!M84*DTE_mission_minutes!M6,"-")</f>
        <v>0</v>
      </c>
      <c r="N85" s="108">
        <f>IFERROR(lifespans_all!N84*DTE_mission_minutes!N6,"-")</f>
        <v>0</v>
      </c>
      <c r="O85" s="108">
        <f>IFERROR(lifespans_all!O84*DTE_mission_minutes!O6,"-")</f>
        <v>0</v>
      </c>
      <c r="P85" s="108">
        <f>IFERROR(lifespans_all!P84*DTE_mission_minutes!P6,"-")</f>
        <v>0</v>
      </c>
      <c r="Q85" s="108">
        <f>IFERROR(lifespans_all!Q84*DTE_mission_minutes!Q6,"-")</f>
        <v>0</v>
      </c>
      <c r="R85" s="108">
        <f>IFERROR(lifespans_all!R84*DTE_mission_minutes!R6,"-")</f>
        <v>0</v>
      </c>
      <c r="S85" s="108">
        <f>IFERROR(lifespans_all!S84*DTE_mission_minutes!S6,"-")</f>
        <v>0</v>
      </c>
      <c r="T85" s="108">
        <f>IFERROR(lifespans_all!T84*DTE_mission_minutes!T6,"-")</f>
        <v>0</v>
      </c>
      <c r="U85" s="108">
        <f>IFERROR(lifespans_all!U84*DTE_mission_minutes!U6,"-")</f>
        <v>0</v>
      </c>
      <c r="V85" s="108">
        <f>IFERROR(lifespans_all!V84*DTE_mission_minutes!V6,"-")</f>
        <v>0</v>
      </c>
    </row>
    <row r="86" spans="1:22" x14ac:dyDescent="0.25">
      <c r="A86" s="32" t="s">
        <v>52</v>
      </c>
      <c r="B86" s="33" t="s">
        <v>41</v>
      </c>
      <c r="C86" s="108">
        <f>IFERROR(lifespans_all!C85*DTE_mission_minutes!C7,"-")</f>
        <v>667.42555555555555</v>
      </c>
      <c r="D86" s="108">
        <f>IFERROR(lifespans_all!D85*DTE_mission_minutes!D7,"-")</f>
        <v>707.53916666666669</v>
      </c>
      <c r="E86" s="108">
        <f>IFERROR(lifespans_all!E85*DTE_mission_minutes!E7,"-")</f>
        <v>608.43833333333339</v>
      </c>
      <c r="F86" s="108">
        <f>IFERROR(lifespans_all!F85*DTE_mission_minutes!F7,"-")</f>
        <v>671.11811111111115</v>
      </c>
      <c r="G86" s="108">
        <f>IFERROR(lifespans_all!G85*DTE_mission_minutes!G7,"-")</f>
        <v>671.11811111111115</v>
      </c>
      <c r="H86" s="108">
        <f>IFERROR(lifespans_all!H85*DTE_mission_minutes!H7,"-")</f>
        <v>671.11811111111115</v>
      </c>
      <c r="I86" s="108">
        <f>IFERROR(lifespans_all!I85*DTE_mission_minutes!I7,"-")</f>
        <v>0</v>
      </c>
      <c r="J86" s="108">
        <f>IFERROR(lifespans_all!J85*DTE_mission_minutes!J7,"-")</f>
        <v>0</v>
      </c>
      <c r="K86" s="108">
        <f>IFERROR(lifespans_all!K85*DTE_mission_minutes!K7,"-")</f>
        <v>0</v>
      </c>
      <c r="L86" s="108">
        <f>IFERROR(lifespans_all!L85*DTE_mission_minutes!L7,"-")</f>
        <v>0</v>
      </c>
      <c r="M86" s="108">
        <f>IFERROR(lifespans_all!M85*DTE_mission_minutes!M7,"-")</f>
        <v>0</v>
      </c>
      <c r="N86" s="108">
        <f>IFERROR(lifespans_all!N85*DTE_mission_minutes!N7,"-")</f>
        <v>0</v>
      </c>
      <c r="O86" s="108">
        <f>IFERROR(lifespans_all!O85*DTE_mission_minutes!O7,"-")</f>
        <v>0</v>
      </c>
      <c r="P86" s="108">
        <f>IFERROR(lifespans_all!P85*DTE_mission_minutes!P7,"-")</f>
        <v>0</v>
      </c>
      <c r="Q86" s="108">
        <f>IFERROR(lifespans_all!Q85*DTE_mission_minutes!Q7,"-")</f>
        <v>0</v>
      </c>
      <c r="R86" s="108">
        <f>IFERROR(lifespans_all!R85*DTE_mission_minutes!R7,"-")</f>
        <v>0</v>
      </c>
      <c r="S86" s="108">
        <f>IFERROR(lifespans_all!S85*DTE_mission_minutes!S7,"-")</f>
        <v>0</v>
      </c>
      <c r="T86" s="108">
        <f>IFERROR(lifespans_all!T85*DTE_mission_minutes!T7,"-")</f>
        <v>0</v>
      </c>
      <c r="U86" s="108">
        <f>IFERROR(lifespans_all!U85*DTE_mission_minutes!U7,"-")</f>
        <v>0</v>
      </c>
      <c r="V86" s="108">
        <f>IFERROR(lifespans_all!V85*DTE_mission_minutes!V7,"-")</f>
        <v>0</v>
      </c>
    </row>
    <row r="87" spans="1:22" x14ac:dyDescent="0.25">
      <c r="A87" s="32" t="s">
        <v>18</v>
      </c>
      <c r="B87" s="41" t="s">
        <v>48</v>
      </c>
      <c r="C87" s="108">
        <f>IFERROR(lifespans_all!C86*DTE_mission_minutes!C8,"-")</f>
        <v>508.14004722222222</v>
      </c>
      <c r="D87" s="108">
        <f>IFERROR(lifespans_all!D86*DTE_mission_minutes!D8,"-")</f>
        <v>377.5913888888889</v>
      </c>
      <c r="E87" s="108">
        <f>IFERROR(lifespans_all!E86*DTE_mission_minutes!E8,"-")</f>
        <v>307.24861111111113</v>
      </c>
      <c r="F87" s="108">
        <f>IFERROR(lifespans_all!F86*DTE_mission_minutes!F8,"-")</f>
        <v>392.20349666666669</v>
      </c>
      <c r="G87" s="108">
        <f>IFERROR(lifespans_all!G86*DTE_mission_minutes!G8,"-")</f>
        <v>392.20349666666669</v>
      </c>
      <c r="H87" s="108">
        <f>IFERROR(lifespans_all!H86*DTE_mission_minutes!H8,"-")</f>
        <v>392.20349666666669</v>
      </c>
      <c r="I87" s="108">
        <f>IFERROR(lifespans_all!I86*DTE_mission_minutes!I8,"-")</f>
        <v>392.20349666666669</v>
      </c>
      <c r="J87" s="108">
        <f>IFERROR(lifespans_all!J86*DTE_mission_minutes!J8,"-")</f>
        <v>392.20349666666669</v>
      </c>
      <c r="K87" s="108">
        <f>IFERROR(lifespans_all!K86*DTE_mission_minutes!K8,"-")</f>
        <v>392.20349666666669</v>
      </c>
      <c r="L87" s="108">
        <f>IFERROR(lifespans_all!L86*DTE_mission_minutes!L8,"-")</f>
        <v>392.20349666666669</v>
      </c>
      <c r="M87" s="108">
        <f>IFERROR(lifespans_all!M86*DTE_mission_minutes!M8,"-")</f>
        <v>392.20349666666669</v>
      </c>
      <c r="N87" s="108">
        <f>IFERROR(lifespans_all!N86*DTE_mission_minutes!N8,"-")</f>
        <v>392.20349666666669</v>
      </c>
      <c r="O87" s="108">
        <f>IFERROR(lifespans_all!O86*DTE_mission_minutes!O8,"-")</f>
        <v>392.20349666666669</v>
      </c>
      <c r="P87" s="108">
        <f>IFERROR(lifespans_all!P86*DTE_mission_minutes!P8,"-")</f>
        <v>392.20349666666669</v>
      </c>
      <c r="Q87" s="108">
        <f>IFERROR(lifespans_all!Q86*DTE_mission_minutes!Q8,"-")</f>
        <v>392.20349666666669</v>
      </c>
      <c r="R87" s="108">
        <f>IFERROR(lifespans_all!R86*DTE_mission_minutes!R8,"-")</f>
        <v>392.20349666666669</v>
      </c>
      <c r="S87" s="108">
        <f>IFERROR(lifespans_all!S86*DTE_mission_minutes!S8,"-")</f>
        <v>392.20349666666669</v>
      </c>
      <c r="T87" s="108">
        <f>IFERROR(lifespans_all!T86*DTE_mission_minutes!T8,"-")</f>
        <v>392.20349666666669</v>
      </c>
      <c r="U87" s="108">
        <f>IFERROR(lifespans_all!U86*DTE_mission_minutes!U8,"-")</f>
        <v>392.20349666666669</v>
      </c>
      <c r="V87" s="108">
        <f>IFERROR(lifespans_all!V86*DTE_mission_minutes!V8,"-")</f>
        <v>392.20349666666669</v>
      </c>
    </row>
    <row r="88" spans="1:22" x14ac:dyDescent="0.25">
      <c r="A88" s="32" t="s">
        <v>53</v>
      </c>
      <c r="B88" s="33" t="s">
        <v>41</v>
      </c>
      <c r="C88" s="108">
        <f>IFERROR(lifespans_all!C87*DTE_mission_minutes!C9,"-")</f>
        <v>0</v>
      </c>
      <c r="D88" s="108">
        <f>IFERROR(lifespans_all!D87*DTE_mission_minutes!D9,"-")</f>
        <v>0</v>
      </c>
      <c r="E88" s="108">
        <f>IFERROR(lifespans_all!E87*DTE_mission_minutes!E9,"-")</f>
        <v>0</v>
      </c>
      <c r="F88" s="108">
        <f>IFERROR(lifespans_all!F87*DTE_mission_minutes!F9,"-")</f>
        <v>0</v>
      </c>
      <c r="G88" s="108">
        <f>IFERROR(lifespans_all!G87*DTE_mission_minutes!G9,"-")</f>
        <v>0</v>
      </c>
      <c r="H88" s="108">
        <f>IFERROR(lifespans_all!H87*DTE_mission_minutes!H9,"-")</f>
        <v>0</v>
      </c>
      <c r="I88" s="108">
        <f>IFERROR(lifespans_all!I87*DTE_mission_minutes!I9,"-")</f>
        <v>0</v>
      </c>
      <c r="J88" s="108">
        <f>IFERROR(lifespans_all!J87*DTE_mission_minutes!J9,"-")</f>
        <v>0</v>
      </c>
      <c r="K88" s="108">
        <f>IFERROR(lifespans_all!K87*DTE_mission_minutes!K9,"-")</f>
        <v>0</v>
      </c>
      <c r="L88" s="108">
        <f>IFERROR(lifespans_all!L87*DTE_mission_minutes!L9,"-")</f>
        <v>0</v>
      </c>
      <c r="M88" s="108">
        <f>IFERROR(lifespans_all!M87*DTE_mission_minutes!M9,"-")</f>
        <v>0</v>
      </c>
      <c r="N88" s="108">
        <f>IFERROR(lifespans_all!N87*DTE_mission_minutes!N9,"-")</f>
        <v>0</v>
      </c>
      <c r="O88" s="108">
        <f>IFERROR(lifespans_all!O87*DTE_mission_minutes!O9,"-")</f>
        <v>0</v>
      </c>
      <c r="P88" s="108">
        <f>IFERROR(lifespans_all!P87*DTE_mission_minutes!P9,"-")</f>
        <v>0</v>
      </c>
      <c r="Q88" s="108">
        <f>IFERROR(lifespans_all!Q87*DTE_mission_minutes!Q9,"-")</f>
        <v>0</v>
      </c>
      <c r="R88" s="108">
        <f>IFERROR(lifespans_all!R87*DTE_mission_minutes!R9,"-")</f>
        <v>0</v>
      </c>
      <c r="S88" s="108">
        <f>IFERROR(lifespans_all!S87*DTE_mission_minutes!S9,"-")</f>
        <v>0</v>
      </c>
      <c r="T88" s="108">
        <f>IFERROR(lifespans_all!T87*DTE_mission_minutes!T9,"-")</f>
        <v>0</v>
      </c>
      <c r="U88" s="108">
        <f>IFERROR(lifespans_all!U87*DTE_mission_minutes!U9,"-")</f>
        <v>0</v>
      </c>
      <c r="V88" s="108">
        <f>IFERROR(lifespans_all!V87*DTE_mission_minutes!V9,"-")</f>
        <v>0</v>
      </c>
    </row>
    <row r="89" spans="1:22" x14ac:dyDescent="0.25">
      <c r="A89" s="32" t="s">
        <v>54</v>
      </c>
      <c r="B89" s="40" t="s">
        <v>43</v>
      </c>
      <c r="C89" s="108">
        <f>IFERROR(lifespans_all!C88*DTE_mission_minutes!C10,"-")</f>
        <v>1178.5658305555555</v>
      </c>
      <c r="D89" s="108">
        <f>IFERROR(lifespans_all!D88*DTE_mission_minutes!D10,"-")</f>
        <v>779.39891388888896</v>
      </c>
      <c r="E89" s="108">
        <f>IFERROR(lifespans_all!E88*DTE_mission_minutes!E10,"-")</f>
        <v>4.2386111111111111</v>
      </c>
      <c r="F89" s="108">
        <f>IFERROR(lifespans_all!F88*DTE_mission_minutes!F10,"-")</f>
        <v>871.54136999999992</v>
      </c>
      <c r="G89" s="108">
        <f>IFERROR(lifespans_all!G88*DTE_mission_minutes!G10,"-")</f>
        <v>871.54136999999992</v>
      </c>
      <c r="H89" s="108">
        <f>IFERROR(lifespans_all!H88*DTE_mission_minutes!H10,"-")</f>
        <v>871.54136999999992</v>
      </c>
      <c r="I89" s="108">
        <f>IFERROR(lifespans_all!I88*DTE_mission_minutes!I10,"-")</f>
        <v>871.54136999999992</v>
      </c>
      <c r="J89" s="108">
        <f>IFERROR(lifespans_all!J88*DTE_mission_minutes!J10,"-")</f>
        <v>871.54136999999992</v>
      </c>
      <c r="K89" s="108">
        <f>IFERROR(lifespans_all!K88*DTE_mission_minutes!K10,"-")</f>
        <v>871.54136999999992</v>
      </c>
      <c r="L89" s="108">
        <f>IFERROR(lifespans_all!L88*DTE_mission_minutes!L10,"-")</f>
        <v>871.54136999999992</v>
      </c>
      <c r="M89" s="108">
        <f>IFERROR(lifespans_all!M88*DTE_mission_minutes!M10,"-")</f>
        <v>0</v>
      </c>
      <c r="N89" s="108">
        <f>IFERROR(lifespans_all!N88*DTE_mission_minutes!N10,"-")</f>
        <v>0</v>
      </c>
      <c r="O89" s="108">
        <f>IFERROR(lifespans_all!O88*DTE_mission_minutes!O10,"-")</f>
        <v>0</v>
      </c>
      <c r="P89" s="108">
        <f>IFERROR(lifespans_all!P88*DTE_mission_minutes!P10,"-")</f>
        <v>0</v>
      </c>
      <c r="Q89" s="108">
        <f>IFERROR(lifespans_all!Q88*DTE_mission_minutes!Q10,"-")</f>
        <v>0</v>
      </c>
      <c r="R89" s="108">
        <f>IFERROR(lifespans_all!R88*DTE_mission_minutes!R10,"-")</f>
        <v>0</v>
      </c>
      <c r="S89" s="108">
        <f>IFERROR(lifespans_all!S88*DTE_mission_minutes!S10,"-")</f>
        <v>0</v>
      </c>
      <c r="T89" s="108">
        <f>IFERROR(lifespans_all!T88*DTE_mission_minutes!T10,"-")</f>
        <v>0</v>
      </c>
      <c r="U89" s="108">
        <f>IFERROR(lifespans_all!U88*DTE_mission_minutes!U10,"-")</f>
        <v>0</v>
      </c>
      <c r="V89" s="108">
        <f>IFERROR(lifespans_all!V88*DTE_mission_minutes!V10,"-")</f>
        <v>0</v>
      </c>
    </row>
    <row r="90" spans="1:22" x14ac:dyDescent="0.25">
      <c r="A90" s="32" t="s">
        <v>55</v>
      </c>
      <c r="B90" s="40" t="s">
        <v>42</v>
      </c>
      <c r="C90" s="108">
        <f>IFERROR(lifespans_all!C89*DTE_mission_minutes!C11,"-")</f>
        <v>721.11352444444435</v>
      </c>
      <c r="D90" s="108">
        <f>IFERROR(lifespans_all!D89*DTE_mission_minutes!D11,"-")</f>
        <v>721.11352444444435</v>
      </c>
      <c r="E90" s="108">
        <f>IFERROR(lifespans_all!E89*DTE_mission_minutes!E11,"-")</f>
        <v>721.11352444444435</v>
      </c>
      <c r="F90" s="108">
        <f>IFERROR(lifespans_all!F89*DTE_mission_minutes!F11,"-")</f>
        <v>721.11352444444435</v>
      </c>
      <c r="G90" s="108">
        <f>IFERROR(lifespans_all!G89*DTE_mission_minutes!G11,"-")</f>
        <v>721.11352444444435</v>
      </c>
      <c r="H90" s="108">
        <f>IFERROR(lifespans_all!H89*DTE_mission_minutes!H11,"-")</f>
        <v>721.11352444444435</v>
      </c>
      <c r="I90" s="108">
        <f>IFERROR(lifespans_all!I89*DTE_mission_minutes!I11,"-")</f>
        <v>721.11352444444435</v>
      </c>
      <c r="J90" s="108">
        <f>IFERROR(lifespans_all!J89*DTE_mission_minutes!J11,"-")</f>
        <v>721.11352444444435</v>
      </c>
      <c r="K90" s="108">
        <f>IFERROR(lifespans_all!K89*DTE_mission_minutes!K11,"-")</f>
        <v>721.11352444444435</v>
      </c>
      <c r="L90" s="108">
        <f>IFERROR(lifespans_all!L89*DTE_mission_minutes!L11,"-")</f>
        <v>721.11352444444435</v>
      </c>
      <c r="M90" s="108">
        <f>IFERROR(lifespans_all!M89*DTE_mission_minutes!M11,"-")</f>
        <v>721.11352444444435</v>
      </c>
      <c r="N90" s="108">
        <f>IFERROR(lifespans_all!N89*DTE_mission_minutes!N11,"-")</f>
        <v>721.11352444444435</v>
      </c>
      <c r="O90" s="108">
        <f>IFERROR(lifespans_all!O89*DTE_mission_minutes!O11,"-")</f>
        <v>721.11352444444435</v>
      </c>
      <c r="P90" s="108">
        <f>IFERROR(lifespans_all!P89*DTE_mission_minutes!P11,"-")</f>
        <v>721.11352444444435</v>
      </c>
      <c r="Q90" s="108">
        <f>IFERROR(lifespans_all!Q89*DTE_mission_minutes!Q11,"-")</f>
        <v>721.11352444444435</v>
      </c>
      <c r="R90" s="108">
        <f>IFERROR(lifespans_all!R89*DTE_mission_minutes!R11,"-")</f>
        <v>721.11352444444435</v>
      </c>
      <c r="S90" s="108">
        <f>IFERROR(lifespans_all!S89*DTE_mission_minutes!S11,"-")</f>
        <v>721.11352444444435</v>
      </c>
      <c r="T90" s="108">
        <f>IFERROR(lifespans_all!T89*DTE_mission_minutes!T11,"-")</f>
        <v>721.11352444444435</v>
      </c>
      <c r="U90" s="108">
        <f>IFERROR(lifespans_all!U89*DTE_mission_minutes!U11,"-")</f>
        <v>721.11352444444435</v>
      </c>
      <c r="V90" s="108">
        <f>IFERROR(lifespans_all!V89*DTE_mission_minutes!V11,"-")</f>
        <v>721.11352444444435</v>
      </c>
    </row>
    <row r="91" spans="1:22" x14ac:dyDescent="0.25">
      <c r="A91" s="32" t="s">
        <v>56</v>
      </c>
      <c r="B91" s="39" t="s">
        <v>43</v>
      </c>
      <c r="C91" s="108">
        <f>IFERROR(lifespans_all!C90*DTE_mission_minutes!C12,"-")</f>
        <v>171572.29579277776</v>
      </c>
      <c r="D91" s="108">
        <f>IFERROR(lifespans_all!D90*DTE_mission_minutes!D12,"-")</f>
        <v>171572.29579277776</v>
      </c>
      <c r="E91" s="108">
        <f>IFERROR(lifespans_all!E90*DTE_mission_minutes!E12,"-")</f>
        <v>171572.29579277776</v>
      </c>
      <c r="F91" s="108">
        <f>IFERROR(lifespans_all!F90*DTE_mission_minutes!F12,"-")</f>
        <v>171572.29579277776</v>
      </c>
      <c r="G91" s="108">
        <f>IFERROR(lifespans_all!G90*DTE_mission_minutes!G12,"-")</f>
        <v>171572.29579277776</v>
      </c>
      <c r="H91" s="108">
        <f>IFERROR(lifespans_all!H90*DTE_mission_minutes!H12,"-")</f>
        <v>171572.29579277776</v>
      </c>
      <c r="I91" s="108">
        <f>IFERROR(lifespans_all!I90*DTE_mission_minutes!I12,"-")</f>
        <v>171572.29579277776</v>
      </c>
      <c r="J91" s="108">
        <f>IFERROR(lifespans_all!J90*DTE_mission_minutes!J12,"-")</f>
        <v>171572.29579277776</v>
      </c>
      <c r="K91" s="108">
        <f>IFERROR(lifespans_all!K90*DTE_mission_minutes!K12,"-")</f>
        <v>171572.29579277776</v>
      </c>
      <c r="L91" s="108">
        <f>IFERROR(lifespans_all!L90*DTE_mission_minutes!L12,"-")</f>
        <v>171572.29579277776</v>
      </c>
      <c r="M91" s="108">
        <f>IFERROR(lifespans_all!M90*DTE_mission_minutes!M12,"-")</f>
        <v>171572.29579277776</v>
      </c>
      <c r="N91" s="108">
        <f>IFERROR(lifespans_all!N90*DTE_mission_minutes!N12,"-")</f>
        <v>171572.29579277776</v>
      </c>
      <c r="O91" s="108">
        <f>IFERROR(lifespans_all!O90*DTE_mission_minutes!O12,"-")</f>
        <v>171572.29579277776</v>
      </c>
      <c r="P91" s="108">
        <f>IFERROR(lifespans_all!P90*DTE_mission_minutes!P12,"-")</f>
        <v>171572.29579277776</v>
      </c>
      <c r="Q91" s="108">
        <f>IFERROR(lifespans_all!Q90*DTE_mission_minutes!Q12,"-")</f>
        <v>171572.29579277776</v>
      </c>
      <c r="R91" s="108">
        <f>IFERROR(lifespans_all!R90*DTE_mission_minutes!R12,"-")</f>
        <v>171572.29579277776</v>
      </c>
      <c r="S91" s="108">
        <f>IFERROR(lifespans_all!S90*DTE_mission_minutes!S12,"-")</f>
        <v>171572.29579277776</v>
      </c>
      <c r="T91" s="108">
        <f>IFERROR(lifespans_all!T90*DTE_mission_minutes!T12,"-")</f>
        <v>171572.29579277776</v>
      </c>
      <c r="U91" s="108">
        <f>IFERROR(lifespans_all!U90*DTE_mission_minutes!U12,"-")</f>
        <v>171572.29579277776</v>
      </c>
      <c r="V91" s="108">
        <f>IFERROR(lifespans_all!V90*DTE_mission_minutes!V12,"-")</f>
        <v>171572.29579277776</v>
      </c>
    </row>
    <row r="92" spans="1:22" x14ac:dyDescent="0.25">
      <c r="A92" s="32" t="s">
        <v>66</v>
      </c>
      <c r="B92" s="41" t="s">
        <v>48</v>
      </c>
      <c r="C92" s="108" t="str">
        <f>IFERROR(lifespans_all!C91*DTE_mission_minutes!C13,"-")</f>
        <v>-</v>
      </c>
      <c r="D92" s="108" t="str">
        <f>IFERROR(lifespans_all!D91*DTE_mission_minutes!D13,"-")</f>
        <v>-</v>
      </c>
      <c r="E92" s="108" t="str">
        <f>IFERROR(lifespans_all!E91*DTE_mission_minutes!E13,"-")</f>
        <v>-</v>
      </c>
      <c r="F92" s="108" t="str">
        <f>IFERROR(lifespans_all!F91*DTE_mission_minutes!F13,"-")</f>
        <v>-</v>
      </c>
      <c r="G92" s="108" t="str">
        <f>IFERROR(lifespans_all!G91*DTE_mission_minutes!G13,"-")</f>
        <v>-</v>
      </c>
      <c r="H92" s="108" t="str">
        <f>IFERROR(lifespans_all!H91*DTE_mission_minutes!H13,"-")</f>
        <v>-</v>
      </c>
      <c r="I92" s="108" t="str">
        <f>IFERROR(lifespans_all!I91*DTE_mission_minutes!I13,"-")</f>
        <v>-</v>
      </c>
      <c r="J92" s="108" t="str">
        <f>IFERROR(lifespans_all!J91*DTE_mission_minutes!J13,"-")</f>
        <v>-</v>
      </c>
      <c r="K92" s="108" t="str">
        <f>IFERROR(lifespans_all!K91*DTE_mission_minutes!K13,"-")</f>
        <v>-</v>
      </c>
      <c r="L92" s="108" t="str">
        <f>IFERROR(lifespans_all!L91*DTE_mission_minutes!L13,"-")</f>
        <v>-</v>
      </c>
      <c r="M92" s="108" t="str">
        <f>IFERROR(lifespans_all!M91*DTE_mission_minutes!M13,"-")</f>
        <v>-</v>
      </c>
      <c r="N92" s="108" t="str">
        <f>IFERROR(lifespans_all!N91*DTE_mission_minutes!N13,"-")</f>
        <v>-</v>
      </c>
      <c r="O92" s="108" t="str">
        <f>IFERROR(lifespans_all!O91*DTE_mission_minutes!O13,"-")</f>
        <v>-</v>
      </c>
      <c r="P92" s="108" t="str">
        <f>IFERROR(lifespans_all!P91*DTE_mission_minutes!P13,"-")</f>
        <v>-</v>
      </c>
      <c r="Q92" s="108" t="str">
        <f>IFERROR(lifespans_all!Q91*DTE_mission_minutes!Q13,"-")</f>
        <v>-</v>
      </c>
      <c r="R92" s="108" t="str">
        <f>IFERROR(lifespans_all!R91*DTE_mission_minutes!R13,"-")</f>
        <v>-</v>
      </c>
      <c r="S92" s="108" t="str">
        <f>IFERROR(lifespans_all!S91*DTE_mission_minutes!S13,"-")</f>
        <v>-</v>
      </c>
      <c r="T92" s="108" t="str">
        <f>IFERROR(lifespans_all!T91*DTE_mission_minutes!T13,"-")</f>
        <v>-</v>
      </c>
      <c r="U92" s="108" t="str">
        <f>IFERROR(lifespans_all!U91*DTE_mission_minutes!U13,"-")</f>
        <v>-</v>
      </c>
      <c r="V92" s="108" t="str">
        <f>IFERROR(lifespans_all!V91*DTE_mission_minutes!V13,"-")</f>
        <v>-</v>
      </c>
    </row>
    <row r="93" spans="1:22" x14ac:dyDescent="0.25">
      <c r="A93" s="32" t="s">
        <v>19</v>
      </c>
      <c r="B93" s="33" t="s">
        <v>41</v>
      </c>
      <c r="C93" s="108">
        <f>IFERROR(lifespans_all!C92*DTE_mission_minutes!C14,"-")</f>
        <v>851.36055555555549</v>
      </c>
      <c r="D93" s="108">
        <f>IFERROR(lifespans_all!D92*DTE_mission_minutes!D14,"-")</f>
        <v>921.41561944444436</v>
      </c>
      <c r="E93" s="108">
        <f>IFERROR(lifespans_all!E92*DTE_mission_minutes!E14,"-")</f>
        <v>793.34499999999991</v>
      </c>
      <c r="F93" s="108">
        <f>IFERROR(lifespans_all!F92*DTE_mission_minutes!F14,"-")</f>
        <v>796.60534611111109</v>
      </c>
      <c r="G93" s="108">
        <f>IFERROR(lifespans_all!G92*DTE_mission_minutes!G14,"-")</f>
        <v>796.60534611111109</v>
      </c>
      <c r="H93" s="108">
        <f>IFERROR(lifespans_all!H92*DTE_mission_minutes!H14,"-")</f>
        <v>796.60534611111109</v>
      </c>
      <c r="I93" s="108">
        <f>IFERROR(lifespans_all!I92*DTE_mission_minutes!I14,"-")</f>
        <v>796.60534611111109</v>
      </c>
      <c r="J93" s="108">
        <f>IFERROR(lifespans_all!J92*DTE_mission_minutes!J14,"-")</f>
        <v>0</v>
      </c>
      <c r="K93" s="108">
        <f>IFERROR(lifespans_all!K92*DTE_mission_minutes!K14,"-")</f>
        <v>0</v>
      </c>
      <c r="L93" s="108">
        <f>IFERROR(lifespans_all!L92*DTE_mission_minutes!L14,"-")</f>
        <v>0</v>
      </c>
      <c r="M93" s="108">
        <f>IFERROR(lifespans_all!M92*DTE_mission_minutes!M14,"-")</f>
        <v>0</v>
      </c>
      <c r="N93" s="108">
        <f>IFERROR(lifespans_all!N92*DTE_mission_minutes!N14,"-")</f>
        <v>0</v>
      </c>
      <c r="O93" s="108">
        <f>IFERROR(lifespans_all!O92*DTE_mission_minutes!O14,"-")</f>
        <v>0</v>
      </c>
      <c r="P93" s="108">
        <f>IFERROR(lifespans_all!P92*DTE_mission_minutes!P14,"-")</f>
        <v>0</v>
      </c>
      <c r="Q93" s="108">
        <f>IFERROR(lifespans_all!Q92*DTE_mission_minutes!Q14,"-")</f>
        <v>0</v>
      </c>
      <c r="R93" s="108">
        <f>IFERROR(lifespans_all!R92*DTE_mission_minutes!R14,"-")</f>
        <v>0</v>
      </c>
      <c r="S93" s="108">
        <f>IFERROR(lifespans_all!S92*DTE_mission_minutes!S14,"-")</f>
        <v>0</v>
      </c>
      <c r="T93" s="108">
        <f>IFERROR(lifespans_all!T92*DTE_mission_minutes!T14,"-")</f>
        <v>0</v>
      </c>
      <c r="U93" s="108">
        <f>IFERROR(lifespans_all!U92*DTE_mission_minutes!U14,"-")</f>
        <v>0</v>
      </c>
      <c r="V93" s="108">
        <f>IFERROR(lifespans_all!V92*DTE_mission_minutes!V14,"-")</f>
        <v>0</v>
      </c>
    </row>
    <row r="94" spans="1:22" x14ac:dyDescent="0.25">
      <c r="A94" s="44" t="s">
        <v>67</v>
      </c>
      <c r="B94" s="33" t="s">
        <v>40</v>
      </c>
      <c r="C94" s="108">
        <f>IFERROR(lifespans_all!C93*DTE_mission_minutes!C15,"-")</f>
        <v>2140.4341038095235</v>
      </c>
      <c r="D94" s="108">
        <f>IFERROR(lifespans_all!D93*DTE_mission_minutes!D15,"-")</f>
        <v>2140.4341038095235</v>
      </c>
      <c r="E94" s="108">
        <f>IFERROR(lifespans_all!E93*DTE_mission_minutes!E15,"-")</f>
        <v>2140.4341038095235</v>
      </c>
      <c r="F94" s="108">
        <f>IFERROR(lifespans_all!F93*DTE_mission_minutes!F15,"-")</f>
        <v>2140.4341038095235</v>
      </c>
      <c r="G94" s="108">
        <f>IFERROR(lifespans_all!G93*DTE_mission_minutes!G15,"-")</f>
        <v>2140.4341038095235</v>
      </c>
      <c r="H94" s="108">
        <f>IFERROR(lifespans_all!H93*DTE_mission_minutes!H15,"-")</f>
        <v>2140.4341038095235</v>
      </c>
      <c r="I94" s="108">
        <f>IFERROR(lifespans_all!I93*DTE_mission_minutes!I15,"-")</f>
        <v>2140.4341038095235</v>
      </c>
      <c r="J94" s="108">
        <f>IFERROR(lifespans_all!J93*DTE_mission_minutes!J15,"-")</f>
        <v>2140.4341038095235</v>
      </c>
      <c r="K94" s="108">
        <f>IFERROR(lifespans_all!K93*DTE_mission_minutes!K15,"-")</f>
        <v>2140.4341038095235</v>
      </c>
      <c r="L94" s="108">
        <f>IFERROR(lifespans_all!L93*DTE_mission_minutes!L15,"-")</f>
        <v>2140.4341038095235</v>
      </c>
      <c r="M94" s="108">
        <f>IFERROR(lifespans_all!M93*DTE_mission_minutes!M15,"-")</f>
        <v>2140.4341038095235</v>
      </c>
      <c r="N94" s="108">
        <f>IFERROR(lifespans_all!N93*DTE_mission_minutes!N15,"-")</f>
        <v>2140.4341038095235</v>
      </c>
      <c r="O94" s="108">
        <f>IFERROR(lifespans_all!O93*DTE_mission_minutes!O15,"-")</f>
        <v>2140.4341038095235</v>
      </c>
      <c r="P94" s="108">
        <f>IFERROR(lifespans_all!P93*DTE_mission_minutes!P15,"-")</f>
        <v>2140.4341038095235</v>
      </c>
      <c r="Q94" s="108">
        <f>IFERROR(lifespans_all!Q93*DTE_mission_minutes!Q15,"-")</f>
        <v>2140.4341038095235</v>
      </c>
      <c r="R94" s="108">
        <f>IFERROR(lifespans_all!R93*DTE_mission_minutes!R15,"-")</f>
        <v>2140.4341038095235</v>
      </c>
      <c r="S94" s="108">
        <f>IFERROR(lifespans_all!S93*DTE_mission_minutes!S15,"-")</f>
        <v>2140.4341038095235</v>
      </c>
      <c r="T94" s="108">
        <f>IFERROR(lifespans_all!T93*DTE_mission_minutes!T15,"-")</f>
        <v>2140.4341038095235</v>
      </c>
      <c r="U94" s="108">
        <f>IFERROR(lifespans_all!U93*DTE_mission_minutes!U15,"-")</f>
        <v>2140.4341038095235</v>
      </c>
      <c r="V94" s="108">
        <f>IFERROR(lifespans_all!V93*DTE_mission_minutes!V15,"-")</f>
        <v>2140.4341038095235</v>
      </c>
    </row>
    <row r="95" spans="1:22" x14ac:dyDescent="0.25">
      <c r="A95" s="44" t="s">
        <v>68</v>
      </c>
      <c r="B95" s="33" t="s">
        <v>40</v>
      </c>
      <c r="C95" s="108">
        <f>IFERROR(lifespans_all!C94*DTE_mission_minutes!C16,"-")</f>
        <v>2140.4341038095235</v>
      </c>
      <c r="D95" s="108">
        <f>IFERROR(lifespans_all!D94*DTE_mission_minutes!D16,"-")</f>
        <v>2140.4341038095235</v>
      </c>
      <c r="E95" s="108">
        <f>IFERROR(lifespans_all!E94*DTE_mission_minutes!E16,"-")</f>
        <v>2140.4341038095235</v>
      </c>
      <c r="F95" s="108">
        <f>IFERROR(lifespans_all!F94*DTE_mission_minutes!F16,"-")</f>
        <v>2140.4341038095235</v>
      </c>
      <c r="G95" s="108">
        <f>IFERROR(lifespans_all!G94*DTE_mission_minutes!G16,"-")</f>
        <v>2140.4341038095235</v>
      </c>
      <c r="H95" s="108">
        <f>IFERROR(lifespans_all!H94*DTE_mission_minutes!H16,"-")</f>
        <v>2140.4341038095235</v>
      </c>
      <c r="I95" s="108">
        <f>IFERROR(lifespans_all!I94*DTE_mission_minutes!I16,"-")</f>
        <v>2140.4341038095235</v>
      </c>
      <c r="J95" s="108">
        <f>IFERROR(lifespans_all!J94*DTE_mission_minutes!J16,"-")</f>
        <v>2140.4341038095235</v>
      </c>
      <c r="K95" s="108">
        <f>IFERROR(lifespans_all!K94*DTE_mission_minutes!K16,"-")</f>
        <v>2140.4341038095235</v>
      </c>
      <c r="L95" s="108">
        <f>IFERROR(lifespans_all!L94*DTE_mission_minutes!L16,"-")</f>
        <v>2140.4341038095235</v>
      </c>
      <c r="M95" s="108">
        <f>IFERROR(lifespans_all!M94*DTE_mission_minutes!M16,"-")</f>
        <v>2140.4341038095235</v>
      </c>
      <c r="N95" s="108">
        <f>IFERROR(lifespans_all!N94*DTE_mission_minutes!N16,"-")</f>
        <v>2140.4341038095235</v>
      </c>
      <c r="O95" s="108">
        <f>IFERROR(lifespans_all!O94*DTE_mission_minutes!O16,"-")</f>
        <v>2140.4341038095235</v>
      </c>
      <c r="P95" s="108">
        <f>IFERROR(lifespans_all!P94*DTE_mission_minutes!P16,"-")</f>
        <v>2140.4341038095235</v>
      </c>
      <c r="Q95" s="108">
        <f>IFERROR(lifespans_all!Q94*DTE_mission_minutes!Q16,"-")</f>
        <v>2140.4341038095235</v>
      </c>
      <c r="R95" s="108">
        <f>IFERROR(lifespans_all!R94*DTE_mission_minutes!R16,"-")</f>
        <v>2140.4341038095235</v>
      </c>
      <c r="S95" s="108">
        <f>IFERROR(lifespans_all!S94*DTE_mission_minutes!S16,"-")</f>
        <v>2140.4341038095235</v>
      </c>
      <c r="T95" s="108">
        <f>IFERROR(lifespans_all!T94*DTE_mission_minutes!T16,"-")</f>
        <v>2140.4341038095235</v>
      </c>
      <c r="U95" s="108">
        <f>IFERROR(lifespans_all!U94*DTE_mission_minutes!U16,"-")</f>
        <v>2140.4341038095235</v>
      </c>
      <c r="V95" s="108">
        <f>IFERROR(lifespans_all!V94*DTE_mission_minutes!V16,"-")</f>
        <v>2140.4341038095235</v>
      </c>
    </row>
    <row r="96" spans="1:22" x14ac:dyDescent="0.25">
      <c r="A96" s="44" t="s">
        <v>69</v>
      </c>
      <c r="B96" s="33" t="s">
        <v>40</v>
      </c>
      <c r="C96" s="108">
        <f>IFERROR(lifespans_all!C95*DTE_mission_minutes!C17,"-")</f>
        <v>2140.4341038095235</v>
      </c>
      <c r="D96" s="108">
        <f>IFERROR(lifespans_all!D95*DTE_mission_minutes!D17,"-")</f>
        <v>2140.4341038095235</v>
      </c>
      <c r="E96" s="108">
        <f>IFERROR(lifespans_all!E95*DTE_mission_minutes!E17,"-")</f>
        <v>2140.4341038095235</v>
      </c>
      <c r="F96" s="108">
        <f>IFERROR(lifespans_all!F95*DTE_mission_minutes!F17,"-")</f>
        <v>2140.4341038095235</v>
      </c>
      <c r="G96" s="108">
        <f>IFERROR(lifespans_all!G95*DTE_mission_minutes!G17,"-")</f>
        <v>2140.4341038095235</v>
      </c>
      <c r="H96" s="108">
        <f>IFERROR(lifespans_all!H95*DTE_mission_minutes!H17,"-")</f>
        <v>2140.4341038095235</v>
      </c>
      <c r="I96" s="108">
        <f>IFERROR(lifespans_all!I95*DTE_mission_minutes!I17,"-")</f>
        <v>2140.4341038095235</v>
      </c>
      <c r="J96" s="108">
        <f>IFERROR(lifespans_all!J95*DTE_mission_minutes!J17,"-")</f>
        <v>2140.4341038095235</v>
      </c>
      <c r="K96" s="108">
        <f>IFERROR(lifespans_all!K95*DTE_mission_minutes!K17,"-")</f>
        <v>2140.4341038095235</v>
      </c>
      <c r="L96" s="108">
        <f>IFERROR(lifespans_all!L95*DTE_mission_minutes!L17,"-")</f>
        <v>2140.4341038095235</v>
      </c>
      <c r="M96" s="108">
        <f>IFERROR(lifespans_all!M95*DTE_mission_minutes!M17,"-")</f>
        <v>2140.4341038095235</v>
      </c>
      <c r="N96" s="108">
        <f>IFERROR(lifespans_all!N95*DTE_mission_minutes!N17,"-")</f>
        <v>2140.4341038095235</v>
      </c>
      <c r="O96" s="108">
        <f>IFERROR(lifespans_all!O95*DTE_mission_minutes!O17,"-")</f>
        <v>2140.4341038095235</v>
      </c>
      <c r="P96" s="108">
        <f>IFERROR(lifespans_all!P95*DTE_mission_minutes!P17,"-")</f>
        <v>2140.4341038095235</v>
      </c>
      <c r="Q96" s="108">
        <f>IFERROR(lifespans_all!Q95*DTE_mission_minutes!Q17,"-")</f>
        <v>2140.4341038095235</v>
      </c>
      <c r="R96" s="108">
        <f>IFERROR(lifespans_all!R95*DTE_mission_minutes!R17,"-")</f>
        <v>2140.4341038095235</v>
      </c>
      <c r="S96" s="108">
        <f>IFERROR(lifespans_all!S95*DTE_mission_minutes!S17,"-")</f>
        <v>2140.4341038095235</v>
      </c>
      <c r="T96" s="108">
        <f>IFERROR(lifespans_all!T95*DTE_mission_minutes!T17,"-")</f>
        <v>2140.4341038095235</v>
      </c>
      <c r="U96" s="108">
        <f>IFERROR(lifespans_all!U95*DTE_mission_minutes!U17,"-")</f>
        <v>2140.4341038095235</v>
      </c>
      <c r="V96" s="108">
        <f>IFERROR(lifespans_all!V95*DTE_mission_minutes!V17,"-")</f>
        <v>2140.4341038095235</v>
      </c>
    </row>
    <row r="97" spans="1:22" x14ac:dyDescent="0.25">
      <c r="A97" s="44" t="s">
        <v>70</v>
      </c>
      <c r="B97" s="33" t="s">
        <v>40</v>
      </c>
      <c r="C97" s="108">
        <f>IFERROR(lifespans_all!C96*DTE_mission_minutes!C18,"-")</f>
        <v>2140.4341038095235</v>
      </c>
      <c r="D97" s="108">
        <f>IFERROR(lifespans_all!D96*DTE_mission_minutes!D18,"-")</f>
        <v>2140.4341038095235</v>
      </c>
      <c r="E97" s="108">
        <f>IFERROR(lifespans_all!E96*DTE_mission_minutes!E18,"-")</f>
        <v>2140.4341038095235</v>
      </c>
      <c r="F97" s="108">
        <f>IFERROR(lifespans_all!F96*DTE_mission_minutes!F18,"-")</f>
        <v>2140.4341038095235</v>
      </c>
      <c r="G97" s="108">
        <f>IFERROR(lifespans_all!G96*DTE_mission_minutes!G18,"-")</f>
        <v>2140.4341038095235</v>
      </c>
      <c r="H97" s="108">
        <f>IFERROR(lifespans_all!H96*DTE_mission_minutes!H18,"-")</f>
        <v>2140.4341038095235</v>
      </c>
      <c r="I97" s="108">
        <f>IFERROR(lifespans_all!I96*DTE_mission_minutes!I18,"-")</f>
        <v>2140.4341038095235</v>
      </c>
      <c r="J97" s="108">
        <f>IFERROR(lifespans_all!J96*DTE_mission_minutes!J18,"-")</f>
        <v>2140.4341038095235</v>
      </c>
      <c r="K97" s="108">
        <f>IFERROR(lifespans_all!K96*DTE_mission_minutes!K18,"-")</f>
        <v>2140.4341038095235</v>
      </c>
      <c r="L97" s="108">
        <f>IFERROR(lifespans_all!L96*DTE_mission_minutes!L18,"-")</f>
        <v>2140.4341038095235</v>
      </c>
      <c r="M97" s="108">
        <f>IFERROR(lifespans_all!M96*DTE_mission_minutes!M18,"-")</f>
        <v>2140.4341038095235</v>
      </c>
      <c r="N97" s="108">
        <f>IFERROR(lifespans_all!N96*DTE_mission_minutes!N18,"-")</f>
        <v>2140.4341038095235</v>
      </c>
      <c r="O97" s="108">
        <f>IFERROR(lifespans_all!O96*DTE_mission_minutes!O18,"-")</f>
        <v>2140.4341038095235</v>
      </c>
      <c r="P97" s="108">
        <f>IFERROR(lifespans_all!P96*DTE_mission_minutes!P18,"-")</f>
        <v>2140.4341038095235</v>
      </c>
      <c r="Q97" s="108">
        <f>IFERROR(lifespans_all!Q96*DTE_mission_minutes!Q18,"-")</f>
        <v>2140.4341038095235</v>
      </c>
      <c r="R97" s="108">
        <f>IFERROR(lifespans_all!R96*DTE_mission_minutes!R18,"-")</f>
        <v>2140.4341038095235</v>
      </c>
      <c r="S97" s="108">
        <f>IFERROR(lifespans_all!S96*DTE_mission_minutes!S18,"-")</f>
        <v>2140.4341038095235</v>
      </c>
      <c r="T97" s="108">
        <f>IFERROR(lifespans_all!T96*DTE_mission_minutes!T18,"-")</f>
        <v>2140.4341038095235</v>
      </c>
      <c r="U97" s="108">
        <f>IFERROR(lifespans_all!U96*DTE_mission_minutes!U18,"-")</f>
        <v>2140.4341038095235</v>
      </c>
      <c r="V97" s="108">
        <f>IFERROR(lifespans_all!V96*DTE_mission_minutes!V18,"-")</f>
        <v>2140.4341038095235</v>
      </c>
    </row>
    <row r="98" spans="1:22" x14ac:dyDescent="0.25">
      <c r="A98" s="32" t="s">
        <v>20</v>
      </c>
      <c r="B98" s="33" t="s">
        <v>41</v>
      </c>
      <c r="C98" s="108">
        <f>IFERROR(lifespans_all!C97*DTE_mission_minutes!C19,"-")</f>
        <v>3121.1464916666664</v>
      </c>
      <c r="D98" s="108">
        <f>IFERROR(lifespans_all!D97*DTE_mission_minutes!D19,"-")</f>
        <v>3157.8943527777778</v>
      </c>
      <c r="E98" s="108">
        <f>IFERROR(lifespans_all!E97*DTE_mission_minutes!E19,"-")</f>
        <v>2937.5030555555554</v>
      </c>
      <c r="F98" s="108">
        <f>IFERROR(lifespans_all!F97*DTE_mission_minutes!F19,"-")</f>
        <v>3137.9728877777775</v>
      </c>
      <c r="G98" s="108">
        <f>IFERROR(lifespans_all!G97*DTE_mission_minutes!G19,"-")</f>
        <v>3137.9728877777775</v>
      </c>
      <c r="H98" s="108">
        <f>IFERROR(lifespans_all!H97*DTE_mission_minutes!H19,"-")</f>
        <v>3137.9728877777775</v>
      </c>
      <c r="I98" s="108">
        <f>IFERROR(lifespans_all!I97*DTE_mission_minutes!I19,"-")</f>
        <v>3137.9728877777775</v>
      </c>
      <c r="J98" s="108">
        <f>IFERROR(lifespans_all!J97*DTE_mission_minutes!J19,"-")</f>
        <v>3137.9728877777775</v>
      </c>
      <c r="K98" s="108">
        <f>IFERROR(lifespans_all!K97*DTE_mission_minutes!K19,"-")</f>
        <v>3137.9728877777775</v>
      </c>
      <c r="L98" s="108">
        <f>IFERROR(lifespans_all!L97*DTE_mission_minutes!L19,"-")</f>
        <v>3137.9728877777775</v>
      </c>
      <c r="M98" s="108">
        <f>IFERROR(lifespans_all!M97*DTE_mission_minutes!M19,"-")</f>
        <v>3137.9728877777775</v>
      </c>
      <c r="N98" s="108">
        <f>IFERROR(lifespans_all!N97*DTE_mission_minutes!N19,"-")</f>
        <v>3137.9728877777775</v>
      </c>
      <c r="O98" s="108">
        <f>IFERROR(lifespans_all!O97*DTE_mission_minutes!O19,"-")</f>
        <v>3137.9728877777775</v>
      </c>
      <c r="P98" s="108">
        <f>IFERROR(lifespans_all!P97*DTE_mission_minutes!P19,"-")</f>
        <v>3137.9728877777775</v>
      </c>
      <c r="Q98" s="108">
        <f>IFERROR(lifespans_all!Q97*DTE_mission_minutes!Q19,"-")</f>
        <v>3137.9728877777775</v>
      </c>
      <c r="R98" s="108">
        <f>IFERROR(lifespans_all!R97*DTE_mission_minutes!R19,"-")</f>
        <v>3137.9728877777775</v>
      </c>
      <c r="S98" s="108">
        <f>IFERROR(lifespans_all!S97*DTE_mission_minutes!S19,"-")</f>
        <v>3137.9728877777775</v>
      </c>
      <c r="T98" s="108">
        <f>IFERROR(lifespans_all!T97*DTE_mission_minutes!T19,"-")</f>
        <v>3137.9728877777775</v>
      </c>
      <c r="U98" s="108">
        <f>IFERROR(lifespans_all!U97*DTE_mission_minutes!U19,"-")</f>
        <v>3137.9728877777775</v>
      </c>
      <c r="V98" s="108">
        <f>IFERROR(lifespans_all!V97*DTE_mission_minutes!V19,"-")</f>
        <v>3137.9728877777775</v>
      </c>
    </row>
    <row r="99" spans="1:22" x14ac:dyDescent="0.25">
      <c r="A99" s="32" t="s">
        <v>21</v>
      </c>
      <c r="B99" s="33" t="s">
        <v>41</v>
      </c>
      <c r="C99" s="108">
        <f>IFERROR(lifespans_all!C98*DTE_mission_minutes!C20,"-")</f>
        <v>3653.0924999999997</v>
      </c>
      <c r="D99" s="108">
        <f>IFERROR(lifespans_all!D98*DTE_mission_minutes!D20,"-")</f>
        <v>3468.0533333333337</v>
      </c>
      <c r="E99" s="108">
        <f>IFERROR(lifespans_all!E98*DTE_mission_minutes!E20,"-")</f>
        <v>3224.0014777777778</v>
      </c>
      <c r="F99" s="108">
        <f>IFERROR(lifespans_all!F98*DTE_mission_minutes!F20,"-")</f>
        <v>3454.7784394444448</v>
      </c>
      <c r="G99" s="108">
        <f>IFERROR(lifespans_all!G98*DTE_mission_minutes!G20,"-")</f>
        <v>3454.7784394444448</v>
      </c>
      <c r="H99" s="108">
        <f>IFERROR(lifespans_all!H98*DTE_mission_minutes!H20,"-")</f>
        <v>0</v>
      </c>
      <c r="I99" s="108">
        <f>IFERROR(lifespans_all!I98*DTE_mission_minutes!I20,"-")</f>
        <v>0</v>
      </c>
      <c r="J99" s="108">
        <f>IFERROR(lifespans_all!J98*DTE_mission_minutes!J20,"-")</f>
        <v>0</v>
      </c>
      <c r="K99" s="108">
        <f>IFERROR(lifespans_all!K98*DTE_mission_minutes!K20,"-")</f>
        <v>0</v>
      </c>
      <c r="L99" s="108">
        <f>IFERROR(lifespans_all!L98*DTE_mission_minutes!L20,"-")</f>
        <v>0</v>
      </c>
      <c r="M99" s="108">
        <f>IFERROR(lifespans_all!M98*DTE_mission_minutes!M20,"-")</f>
        <v>0</v>
      </c>
      <c r="N99" s="108">
        <f>IFERROR(lifespans_all!N98*DTE_mission_minutes!N20,"-")</f>
        <v>0</v>
      </c>
      <c r="O99" s="108">
        <f>IFERROR(lifespans_all!O98*DTE_mission_minutes!O20,"-")</f>
        <v>0</v>
      </c>
      <c r="P99" s="108">
        <f>IFERROR(lifespans_all!P98*DTE_mission_minutes!P20,"-")</f>
        <v>0</v>
      </c>
      <c r="Q99" s="108">
        <f>IFERROR(lifespans_all!Q98*DTE_mission_minutes!Q20,"-")</f>
        <v>0</v>
      </c>
      <c r="R99" s="108">
        <f>IFERROR(lifespans_all!R98*DTE_mission_minutes!R20,"-")</f>
        <v>0</v>
      </c>
      <c r="S99" s="108">
        <f>IFERROR(lifespans_all!S98*DTE_mission_minutes!S20,"-")</f>
        <v>0</v>
      </c>
      <c r="T99" s="108">
        <f>IFERROR(lifespans_all!T98*DTE_mission_minutes!T20,"-")</f>
        <v>0</v>
      </c>
      <c r="U99" s="108">
        <f>IFERROR(lifespans_all!U98*DTE_mission_minutes!U20,"-")</f>
        <v>0</v>
      </c>
      <c r="V99" s="108">
        <f>IFERROR(lifespans_all!V98*DTE_mission_minutes!V20,"-")</f>
        <v>0</v>
      </c>
    </row>
    <row r="100" spans="1:22" x14ac:dyDescent="0.25">
      <c r="A100" s="32" t="s">
        <v>24</v>
      </c>
      <c r="B100" s="45" t="s">
        <v>42</v>
      </c>
      <c r="C100" s="108">
        <f>IFERROR(lifespans_all!C99*DTE_mission_minutes!C21,"-")</f>
        <v>0</v>
      </c>
      <c r="D100" s="108">
        <f>IFERROR(lifespans_all!D99*DTE_mission_minutes!D21,"-")</f>
        <v>0</v>
      </c>
      <c r="E100" s="108">
        <f>IFERROR(lifespans_all!E99*DTE_mission_minutes!E21,"-")</f>
        <v>0</v>
      </c>
      <c r="F100" s="108">
        <f>IFERROR(lifespans_all!F99*DTE_mission_minutes!F21,"-")</f>
        <v>0</v>
      </c>
      <c r="G100" s="108">
        <f>IFERROR(lifespans_all!G99*DTE_mission_minutes!G21,"-")</f>
        <v>0</v>
      </c>
      <c r="H100" s="108">
        <f>IFERROR(lifespans_all!H99*DTE_mission_minutes!H21,"-")</f>
        <v>0</v>
      </c>
      <c r="I100" s="108">
        <f>IFERROR(lifespans_all!I99*DTE_mission_minutes!I21,"-")</f>
        <v>0</v>
      </c>
      <c r="J100" s="108">
        <f>IFERROR(lifespans_all!J99*DTE_mission_minutes!J21,"-")</f>
        <v>0</v>
      </c>
      <c r="K100" s="108">
        <f>IFERROR(lifespans_all!K99*DTE_mission_minutes!K21,"-")</f>
        <v>0</v>
      </c>
      <c r="L100" s="108">
        <f>IFERROR(lifespans_all!L99*DTE_mission_minutes!L21,"-")</f>
        <v>0</v>
      </c>
      <c r="M100" s="108">
        <f>IFERROR(lifespans_all!M99*DTE_mission_minutes!M21,"-")</f>
        <v>0</v>
      </c>
      <c r="N100" s="108">
        <f>IFERROR(lifespans_all!N99*DTE_mission_minutes!N21,"-")</f>
        <v>0</v>
      </c>
      <c r="O100" s="108">
        <f>IFERROR(lifespans_all!O99*DTE_mission_minutes!O21,"-")</f>
        <v>0</v>
      </c>
      <c r="P100" s="108">
        <f>IFERROR(lifespans_all!P99*DTE_mission_minutes!P21,"-")</f>
        <v>0</v>
      </c>
      <c r="Q100" s="108">
        <f>IFERROR(lifespans_all!Q99*DTE_mission_minutes!Q21,"-")</f>
        <v>0</v>
      </c>
      <c r="R100" s="108">
        <f>IFERROR(lifespans_all!R99*DTE_mission_minutes!R21,"-")</f>
        <v>0</v>
      </c>
      <c r="S100" s="108">
        <f>IFERROR(lifespans_all!S99*DTE_mission_minutes!S21,"-")</f>
        <v>0</v>
      </c>
      <c r="T100" s="108">
        <f>IFERROR(lifespans_all!T99*DTE_mission_minutes!T21,"-")</f>
        <v>0</v>
      </c>
      <c r="U100" s="108">
        <f>IFERROR(lifespans_all!U99*DTE_mission_minutes!U21,"-")</f>
        <v>0</v>
      </c>
      <c r="V100" s="108">
        <f>IFERROR(lifespans_all!V99*DTE_mission_minutes!V21,"-")</f>
        <v>0</v>
      </c>
    </row>
    <row r="101" spans="1:22" x14ac:dyDescent="0.25">
      <c r="A101" s="32" t="s">
        <v>57</v>
      </c>
      <c r="B101" s="33" t="s">
        <v>41</v>
      </c>
      <c r="C101" s="108">
        <f>IFERROR(lifespans_all!C100*DTE_mission_minutes!C22,"-")</f>
        <v>133409.35004928565</v>
      </c>
      <c r="D101" s="108">
        <f>IFERROR(lifespans_all!D100*DTE_mission_minutes!D22,"-")</f>
        <v>133409.35004928565</v>
      </c>
      <c r="E101" s="108">
        <f>IFERROR(lifespans_all!E100*DTE_mission_minutes!E22,"-")</f>
        <v>133409.35004928565</v>
      </c>
      <c r="F101" s="108">
        <f>IFERROR(lifespans_all!F100*DTE_mission_minutes!F22,"-")</f>
        <v>133409.35004928565</v>
      </c>
      <c r="G101" s="108">
        <f>IFERROR(lifespans_all!G100*DTE_mission_minutes!G22,"-")</f>
        <v>133409.35004928565</v>
      </c>
      <c r="H101" s="108">
        <f>IFERROR(lifespans_all!H100*DTE_mission_minutes!H22,"-")</f>
        <v>0</v>
      </c>
      <c r="I101" s="108">
        <f>IFERROR(lifespans_all!I100*DTE_mission_minutes!I22,"-")</f>
        <v>0</v>
      </c>
      <c r="J101" s="108">
        <f>IFERROR(lifespans_all!J100*DTE_mission_minutes!J22,"-")</f>
        <v>0</v>
      </c>
      <c r="K101" s="108">
        <f>IFERROR(lifespans_all!K100*DTE_mission_minutes!K22,"-")</f>
        <v>0</v>
      </c>
      <c r="L101" s="108">
        <f>IFERROR(lifespans_all!L100*DTE_mission_minutes!L22,"-")</f>
        <v>0</v>
      </c>
      <c r="M101" s="108">
        <f>IFERROR(lifespans_all!M100*DTE_mission_minutes!M22,"-")</f>
        <v>0</v>
      </c>
      <c r="N101" s="108">
        <f>IFERROR(lifespans_all!N100*DTE_mission_minutes!N22,"-")</f>
        <v>0</v>
      </c>
      <c r="O101" s="108">
        <f>IFERROR(lifespans_all!O100*DTE_mission_minutes!O22,"-")</f>
        <v>0</v>
      </c>
      <c r="P101" s="108">
        <f>IFERROR(lifespans_all!P100*DTE_mission_minutes!P22,"-")</f>
        <v>0</v>
      </c>
      <c r="Q101" s="108">
        <f>IFERROR(lifespans_all!Q100*DTE_mission_minutes!Q22,"-")</f>
        <v>0</v>
      </c>
      <c r="R101" s="108">
        <f>IFERROR(lifespans_all!R100*DTE_mission_minutes!R22,"-")</f>
        <v>0</v>
      </c>
      <c r="S101" s="108">
        <f>IFERROR(lifespans_all!S100*DTE_mission_minutes!S22,"-")</f>
        <v>0</v>
      </c>
      <c r="T101" s="108">
        <f>IFERROR(lifespans_all!T100*DTE_mission_minutes!T22,"-")</f>
        <v>0</v>
      </c>
      <c r="U101" s="108">
        <f>IFERROR(lifespans_all!U100*DTE_mission_minutes!U22,"-")</f>
        <v>0</v>
      </c>
      <c r="V101" s="108">
        <f>IFERROR(lifespans_all!V100*DTE_mission_minutes!V22,"-")</f>
        <v>0</v>
      </c>
    </row>
    <row r="102" spans="1:22" x14ac:dyDescent="0.25">
      <c r="A102" s="32" t="s">
        <v>22</v>
      </c>
      <c r="B102" s="33" t="s">
        <v>41</v>
      </c>
      <c r="C102" s="108">
        <f>IFERROR(lifespans_all!C101*DTE_mission_minutes!C23,"-")</f>
        <v>21.986611111111113</v>
      </c>
      <c r="D102" s="108">
        <f>IFERROR(lifespans_all!D101*DTE_mission_minutes!D23,"-")</f>
        <v>1.1333333333333333</v>
      </c>
      <c r="E102" s="108">
        <f>IFERROR(lifespans_all!E101*DTE_mission_minutes!E23,"-")</f>
        <v>3.7333333333333334</v>
      </c>
      <c r="F102" s="108">
        <f>IFERROR(lifespans_all!F101*DTE_mission_minutes!F23,"-")</f>
        <v>23.303841111111115</v>
      </c>
      <c r="G102" s="108">
        <f>IFERROR(lifespans_all!G101*DTE_mission_minutes!G23,"-")</f>
        <v>0</v>
      </c>
      <c r="H102" s="108">
        <f>IFERROR(lifespans_all!H101*DTE_mission_minutes!H23,"-")</f>
        <v>0</v>
      </c>
      <c r="I102" s="108">
        <f>IFERROR(lifespans_all!I101*DTE_mission_minutes!I23,"-")</f>
        <v>0</v>
      </c>
      <c r="J102" s="108">
        <f>IFERROR(lifespans_all!J101*DTE_mission_minutes!J23,"-")</f>
        <v>0</v>
      </c>
      <c r="K102" s="108">
        <f>IFERROR(lifespans_all!K101*DTE_mission_minutes!K23,"-")</f>
        <v>0</v>
      </c>
      <c r="L102" s="108">
        <f>IFERROR(lifespans_all!L101*DTE_mission_minutes!L23,"-")</f>
        <v>0</v>
      </c>
      <c r="M102" s="108">
        <f>IFERROR(lifespans_all!M101*DTE_mission_minutes!M23,"-")</f>
        <v>0</v>
      </c>
      <c r="N102" s="108">
        <f>IFERROR(lifespans_all!N101*DTE_mission_minutes!N23,"-")</f>
        <v>0</v>
      </c>
      <c r="O102" s="108">
        <f>IFERROR(lifespans_all!O101*DTE_mission_minutes!O23,"-")</f>
        <v>0</v>
      </c>
      <c r="P102" s="108">
        <f>IFERROR(lifespans_all!P101*DTE_mission_minutes!P23,"-")</f>
        <v>0</v>
      </c>
      <c r="Q102" s="108">
        <f>IFERROR(lifespans_all!Q101*DTE_mission_minutes!Q23,"-")</f>
        <v>0</v>
      </c>
      <c r="R102" s="108">
        <f>IFERROR(lifespans_all!R101*DTE_mission_minutes!R23,"-")</f>
        <v>0</v>
      </c>
      <c r="S102" s="108">
        <f>IFERROR(lifespans_all!S101*DTE_mission_minutes!S23,"-")</f>
        <v>0</v>
      </c>
      <c r="T102" s="108">
        <f>IFERROR(lifespans_all!T101*DTE_mission_minutes!T23,"-")</f>
        <v>0</v>
      </c>
      <c r="U102" s="108">
        <f>IFERROR(lifespans_all!U101*DTE_mission_minutes!U23,"-")</f>
        <v>0</v>
      </c>
      <c r="V102" s="108">
        <f>IFERROR(lifespans_all!V101*DTE_mission_minutes!V23,"-")</f>
        <v>0</v>
      </c>
    </row>
    <row r="103" spans="1:22" x14ac:dyDescent="0.25">
      <c r="A103" s="103" t="s">
        <v>23</v>
      </c>
      <c r="B103" s="104" t="s">
        <v>43</v>
      </c>
      <c r="C103" s="108">
        <f>IFERROR(lifespans_all!C102*DTE_mission_minutes!C24,"-")</f>
        <v>7757.52</v>
      </c>
      <c r="D103" s="108">
        <f>IFERROR(lifespans_all!D102*DTE_mission_minutes!D24,"-")</f>
        <v>7884.0724999999993</v>
      </c>
      <c r="E103" s="108">
        <f>IFERROR(lifespans_all!E102*DTE_mission_minutes!E24,"-")</f>
        <v>7411.0455555555554</v>
      </c>
      <c r="F103" s="108">
        <f>IFERROR(lifespans_all!F102*DTE_mission_minutes!F24,"-")</f>
        <v>7749.4853583333334</v>
      </c>
      <c r="G103" s="108">
        <f>IFERROR(lifespans_all!G102*DTE_mission_minutes!G24,"-")</f>
        <v>7749.4853583333334</v>
      </c>
      <c r="H103" s="108">
        <f>IFERROR(lifespans_all!H102*DTE_mission_minutes!H24,"-")</f>
        <v>7749.4853583333334</v>
      </c>
      <c r="I103" s="108">
        <f>IFERROR(lifespans_all!I102*DTE_mission_minutes!I24,"-")</f>
        <v>7749.4853583333334</v>
      </c>
      <c r="J103" s="108">
        <f>IFERROR(lifespans_all!J102*DTE_mission_minutes!J24,"-")</f>
        <v>7749.4853583333334</v>
      </c>
      <c r="K103" s="108">
        <f>IFERROR(lifespans_all!K102*DTE_mission_minutes!K24,"-")</f>
        <v>7749.4853583333334</v>
      </c>
      <c r="L103" s="108">
        <f>IFERROR(lifespans_all!L102*DTE_mission_minutes!L24,"-")</f>
        <v>7749.4853583333334</v>
      </c>
      <c r="M103" s="108">
        <f>IFERROR(lifespans_all!M102*DTE_mission_minutes!M24,"-")</f>
        <v>0</v>
      </c>
      <c r="N103" s="108">
        <f>IFERROR(lifespans_all!N102*DTE_mission_minutes!N24,"-")</f>
        <v>0</v>
      </c>
      <c r="O103" s="108">
        <f>IFERROR(lifespans_all!O102*DTE_mission_minutes!O24,"-")</f>
        <v>0</v>
      </c>
      <c r="P103" s="108">
        <f>IFERROR(lifespans_all!P102*DTE_mission_minutes!P24,"-")</f>
        <v>0</v>
      </c>
      <c r="Q103" s="108">
        <f>IFERROR(lifespans_all!Q102*DTE_mission_minutes!Q24,"-")</f>
        <v>0</v>
      </c>
      <c r="R103" s="108">
        <f>IFERROR(lifespans_all!R102*DTE_mission_minutes!R24,"-")</f>
        <v>0</v>
      </c>
      <c r="S103" s="108">
        <f>IFERROR(lifespans_all!S102*DTE_mission_minutes!S24,"-")</f>
        <v>0</v>
      </c>
      <c r="T103" s="108">
        <f>IFERROR(lifespans_all!T102*DTE_mission_minutes!T24,"-")</f>
        <v>0</v>
      </c>
      <c r="U103" s="108">
        <f>IFERROR(lifespans_all!U102*DTE_mission_minutes!U24,"-")</f>
        <v>0</v>
      </c>
      <c r="V103" s="108">
        <f>IFERROR(lifespans_all!V102*DTE_mission_minutes!V24,"-")</f>
        <v>0</v>
      </c>
    </row>
    <row r="104" spans="1:22" x14ac:dyDescent="0.25">
      <c r="A104" s="32" t="s">
        <v>25</v>
      </c>
      <c r="B104" s="33" t="s">
        <v>44</v>
      </c>
      <c r="C104" s="108">
        <f>IFERROR(lifespans_all!C103*DTE_mission_minutes!C25,"-")</f>
        <v>0</v>
      </c>
      <c r="D104" s="108">
        <f>IFERROR(lifespans_all!D103*DTE_mission_minutes!D25,"-")</f>
        <v>0</v>
      </c>
      <c r="E104" s="108">
        <f>IFERROR(lifespans_all!E103*DTE_mission_minutes!E25,"-")</f>
        <v>0</v>
      </c>
      <c r="F104" s="108">
        <f>IFERROR(lifespans_all!F103*DTE_mission_minutes!F25,"-")</f>
        <v>0</v>
      </c>
      <c r="G104" s="108">
        <f>IFERROR(lifespans_all!G103*DTE_mission_minutes!G25,"-")</f>
        <v>0</v>
      </c>
      <c r="H104" s="108">
        <f>IFERROR(lifespans_all!H103*DTE_mission_minutes!H25,"-")</f>
        <v>0</v>
      </c>
      <c r="I104" s="108">
        <f>IFERROR(lifespans_all!I103*DTE_mission_minutes!I25,"-")</f>
        <v>0</v>
      </c>
      <c r="J104" s="108">
        <f>IFERROR(lifespans_all!J103*DTE_mission_minutes!J25,"-")</f>
        <v>0</v>
      </c>
      <c r="K104" s="108">
        <f>IFERROR(lifespans_all!K103*DTE_mission_minutes!K25,"-")</f>
        <v>0</v>
      </c>
      <c r="L104" s="108">
        <f>IFERROR(lifespans_all!L103*DTE_mission_minutes!L25,"-")</f>
        <v>0</v>
      </c>
      <c r="M104" s="108">
        <f>IFERROR(lifespans_all!M103*DTE_mission_minutes!M25,"-")</f>
        <v>0</v>
      </c>
      <c r="N104" s="108">
        <f>IFERROR(lifespans_all!N103*DTE_mission_minutes!N25,"-")</f>
        <v>0</v>
      </c>
      <c r="O104" s="108">
        <f>IFERROR(lifespans_all!O103*DTE_mission_minutes!O25,"-")</f>
        <v>0</v>
      </c>
      <c r="P104" s="108">
        <f>IFERROR(lifespans_all!P103*DTE_mission_minutes!P25,"-")</f>
        <v>0</v>
      </c>
      <c r="Q104" s="108">
        <f>IFERROR(lifespans_all!Q103*DTE_mission_minutes!Q25,"-")</f>
        <v>0</v>
      </c>
      <c r="R104" s="108">
        <f>IFERROR(lifespans_all!R103*DTE_mission_minutes!R25,"-")</f>
        <v>0</v>
      </c>
      <c r="S104" s="108">
        <f>IFERROR(lifespans_all!S103*DTE_mission_minutes!S25,"-")</f>
        <v>0</v>
      </c>
      <c r="T104" s="108">
        <f>IFERROR(lifespans_all!T103*DTE_mission_minutes!T25,"-")</f>
        <v>0</v>
      </c>
      <c r="U104" s="108">
        <f>IFERROR(lifespans_all!U103*DTE_mission_minutes!U25,"-")</f>
        <v>0</v>
      </c>
      <c r="V104" s="108">
        <f>IFERROR(lifespans_all!V103*DTE_mission_minutes!V25,"-")</f>
        <v>0</v>
      </c>
    </row>
    <row r="105" spans="1:22" x14ac:dyDescent="0.25">
      <c r="A105" s="32" t="s">
        <v>58</v>
      </c>
      <c r="B105" s="33" t="s">
        <v>41</v>
      </c>
      <c r="C105" s="108">
        <f>IFERROR(lifespans_all!C104*DTE_mission_minutes!C26,"-")</f>
        <v>133409.35004928565</v>
      </c>
      <c r="D105" s="108">
        <f>IFERROR(lifespans_all!D104*DTE_mission_minutes!D26,"-")</f>
        <v>0</v>
      </c>
      <c r="E105" s="108">
        <f>IFERROR(lifespans_all!E104*DTE_mission_minutes!E26,"-")</f>
        <v>0</v>
      </c>
      <c r="F105" s="108">
        <f>IFERROR(lifespans_all!F104*DTE_mission_minutes!F26,"-")</f>
        <v>0</v>
      </c>
      <c r="G105" s="108">
        <f>IFERROR(lifespans_all!G104*DTE_mission_minutes!G26,"-")</f>
        <v>0</v>
      </c>
      <c r="H105" s="108">
        <f>IFERROR(lifespans_all!H104*DTE_mission_minutes!H26,"-")</f>
        <v>0</v>
      </c>
      <c r="I105" s="108">
        <f>IFERROR(lifespans_all!I104*DTE_mission_minutes!I26,"-")</f>
        <v>0</v>
      </c>
      <c r="J105" s="108">
        <f>IFERROR(lifespans_all!J104*DTE_mission_minutes!J26,"-")</f>
        <v>0</v>
      </c>
      <c r="K105" s="108">
        <f>IFERROR(lifespans_all!K104*DTE_mission_minutes!K26,"-")</f>
        <v>0</v>
      </c>
      <c r="L105" s="108">
        <f>IFERROR(lifespans_all!L104*DTE_mission_minutes!L26,"-")</f>
        <v>0</v>
      </c>
      <c r="M105" s="108">
        <f>IFERROR(lifespans_all!M104*DTE_mission_minutes!M26,"-")</f>
        <v>0</v>
      </c>
      <c r="N105" s="108">
        <f>IFERROR(lifespans_all!N104*DTE_mission_minutes!N26,"-")</f>
        <v>0</v>
      </c>
      <c r="O105" s="108">
        <f>IFERROR(lifespans_all!O104*DTE_mission_minutes!O26,"-")</f>
        <v>0</v>
      </c>
      <c r="P105" s="108">
        <f>IFERROR(lifespans_all!P104*DTE_mission_minutes!P26,"-")</f>
        <v>0</v>
      </c>
      <c r="Q105" s="108">
        <f>IFERROR(lifespans_all!Q104*DTE_mission_minutes!Q26,"-")</f>
        <v>0</v>
      </c>
      <c r="R105" s="108">
        <f>IFERROR(lifespans_all!R104*DTE_mission_minutes!R26,"-")</f>
        <v>0</v>
      </c>
      <c r="S105" s="108">
        <f>IFERROR(lifespans_all!S104*DTE_mission_minutes!S26,"-")</f>
        <v>0</v>
      </c>
      <c r="T105" s="108">
        <f>IFERROR(lifespans_all!T104*DTE_mission_minutes!T26,"-")</f>
        <v>0</v>
      </c>
      <c r="U105" s="108">
        <f>IFERROR(lifespans_all!U104*DTE_mission_minutes!U26,"-")</f>
        <v>0</v>
      </c>
      <c r="V105" s="108">
        <f>IFERROR(lifespans_all!V104*DTE_mission_minutes!V26,"-")</f>
        <v>0</v>
      </c>
    </row>
    <row r="106" spans="1:22" x14ac:dyDescent="0.25">
      <c r="A106" s="32" t="s">
        <v>59</v>
      </c>
      <c r="B106" s="33" t="s">
        <v>41</v>
      </c>
      <c r="C106" s="108">
        <f>IFERROR(lifespans_all!C105*DTE_mission_minutes!C27,"-")</f>
        <v>133409.35004928565</v>
      </c>
      <c r="D106" s="108">
        <f>IFERROR(lifespans_all!D105*DTE_mission_minutes!D27,"-")</f>
        <v>133409.35004928565</v>
      </c>
      <c r="E106" s="108">
        <f>IFERROR(lifespans_all!E105*DTE_mission_minutes!E27,"-")</f>
        <v>133409.35004928565</v>
      </c>
      <c r="F106" s="108">
        <f>IFERROR(lifespans_all!F105*DTE_mission_minutes!F27,"-")</f>
        <v>0</v>
      </c>
      <c r="G106" s="108">
        <f>IFERROR(lifespans_all!G105*DTE_mission_minutes!G27,"-")</f>
        <v>0</v>
      </c>
      <c r="H106" s="108">
        <f>IFERROR(lifespans_all!H105*DTE_mission_minutes!H27,"-")</f>
        <v>0</v>
      </c>
      <c r="I106" s="108">
        <f>IFERROR(lifespans_all!I105*DTE_mission_minutes!I27,"-")</f>
        <v>0</v>
      </c>
      <c r="J106" s="108">
        <f>IFERROR(lifespans_all!J105*DTE_mission_minutes!J27,"-")</f>
        <v>0</v>
      </c>
      <c r="K106" s="108">
        <f>IFERROR(lifespans_all!K105*DTE_mission_minutes!K27,"-")</f>
        <v>0</v>
      </c>
      <c r="L106" s="108">
        <f>IFERROR(lifespans_all!L105*DTE_mission_minutes!L27,"-")</f>
        <v>0</v>
      </c>
      <c r="M106" s="108">
        <f>IFERROR(lifespans_all!M105*DTE_mission_minutes!M27,"-")</f>
        <v>0</v>
      </c>
      <c r="N106" s="108">
        <f>IFERROR(lifespans_all!N105*DTE_mission_minutes!N27,"-")</f>
        <v>0</v>
      </c>
      <c r="O106" s="108">
        <f>IFERROR(lifespans_all!O105*DTE_mission_minutes!O27,"-")</f>
        <v>0</v>
      </c>
      <c r="P106" s="108">
        <f>IFERROR(lifespans_all!P105*DTE_mission_minutes!P27,"-")</f>
        <v>0</v>
      </c>
      <c r="Q106" s="108">
        <f>IFERROR(lifespans_all!Q105*DTE_mission_minutes!Q27,"-")</f>
        <v>0</v>
      </c>
      <c r="R106" s="108">
        <f>IFERROR(lifespans_all!R105*DTE_mission_minutes!R27,"-")</f>
        <v>0</v>
      </c>
      <c r="S106" s="108">
        <f>IFERROR(lifespans_all!S105*DTE_mission_minutes!S27,"-")</f>
        <v>0</v>
      </c>
      <c r="T106" s="108">
        <f>IFERROR(lifespans_all!T105*DTE_mission_minutes!T27,"-")</f>
        <v>0</v>
      </c>
      <c r="U106" s="108">
        <f>IFERROR(lifespans_all!U105*DTE_mission_minutes!U27,"-")</f>
        <v>0</v>
      </c>
      <c r="V106" s="108">
        <f>IFERROR(lifespans_all!V105*DTE_mission_minutes!V27,"-")</f>
        <v>0</v>
      </c>
    </row>
    <row r="107" spans="1:22" x14ac:dyDescent="0.25">
      <c r="A107" s="32" t="s">
        <v>60</v>
      </c>
      <c r="B107" s="33" t="s">
        <v>41</v>
      </c>
      <c r="C107" s="108">
        <f>IFERROR(lifespans_all!C106*DTE_mission_minutes!C28,"-")</f>
        <v>133409.35004928565</v>
      </c>
      <c r="D107" s="108">
        <f>IFERROR(lifespans_all!D106*DTE_mission_minutes!D28,"-")</f>
        <v>133409.35004928565</v>
      </c>
      <c r="E107" s="108">
        <f>IFERROR(lifespans_all!E106*DTE_mission_minutes!E28,"-")</f>
        <v>133409.35004928565</v>
      </c>
      <c r="F107" s="108">
        <f>IFERROR(lifespans_all!F106*DTE_mission_minutes!F28,"-")</f>
        <v>133409.35004928565</v>
      </c>
      <c r="G107" s="108">
        <f>IFERROR(lifespans_all!G106*DTE_mission_minutes!G28,"-")</f>
        <v>133409.35004928565</v>
      </c>
      <c r="H107" s="108">
        <f>IFERROR(lifespans_all!H106*DTE_mission_minutes!H28,"-")</f>
        <v>133409.35004928565</v>
      </c>
      <c r="I107" s="108">
        <f>IFERROR(lifespans_all!I106*DTE_mission_minutes!I28,"-")</f>
        <v>0</v>
      </c>
      <c r="J107" s="108">
        <f>IFERROR(lifespans_all!J106*DTE_mission_minutes!J28,"-")</f>
        <v>0</v>
      </c>
      <c r="K107" s="108">
        <f>IFERROR(lifespans_all!K106*DTE_mission_minutes!K28,"-")</f>
        <v>0</v>
      </c>
      <c r="L107" s="108">
        <f>IFERROR(lifespans_all!L106*DTE_mission_minutes!L28,"-")</f>
        <v>0</v>
      </c>
      <c r="M107" s="108">
        <f>IFERROR(lifespans_all!M106*DTE_mission_minutes!M28,"-")</f>
        <v>0</v>
      </c>
      <c r="N107" s="108">
        <f>IFERROR(lifespans_all!N106*DTE_mission_minutes!N28,"-")</f>
        <v>0</v>
      </c>
      <c r="O107" s="108">
        <f>IFERROR(lifespans_all!O106*DTE_mission_minutes!O28,"-")</f>
        <v>0</v>
      </c>
      <c r="P107" s="108">
        <f>IFERROR(lifespans_all!P106*DTE_mission_minutes!P28,"-")</f>
        <v>0</v>
      </c>
      <c r="Q107" s="108">
        <f>IFERROR(lifespans_all!Q106*DTE_mission_minutes!Q28,"-")</f>
        <v>0</v>
      </c>
      <c r="R107" s="108">
        <f>IFERROR(lifespans_all!R106*DTE_mission_minutes!R28,"-")</f>
        <v>0</v>
      </c>
      <c r="S107" s="108">
        <f>IFERROR(lifespans_all!S106*DTE_mission_minutes!S28,"-")</f>
        <v>0</v>
      </c>
      <c r="T107" s="108">
        <f>IFERROR(lifespans_all!T106*DTE_mission_minutes!T28,"-")</f>
        <v>0</v>
      </c>
      <c r="U107" s="108">
        <f>IFERROR(lifespans_all!U106*DTE_mission_minutes!U28,"-")</f>
        <v>0</v>
      </c>
      <c r="V107" s="108">
        <f>IFERROR(lifespans_all!V106*DTE_mission_minutes!V28,"-")</f>
        <v>0</v>
      </c>
    </row>
    <row r="108" spans="1:22" x14ac:dyDescent="0.25">
      <c r="A108" s="32" t="s">
        <v>26</v>
      </c>
      <c r="B108" s="40" t="s">
        <v>45</v>
      </c>
      <c r="C108" s="108">
        <f>IFERROR(lifespans_all!C107*DTE_mission_minutes!C29,"-")</f>
        <v>89453.837836666688</v>
      </c>
      <c r="D108" s="108">
        <f>IFERROR(lifespans_all!D107*DTE_mission_minutes!D29,"-")</f>
        <v>89453.837836666688</v>
      </c>
      <c r="E108" s="108">
        <f>IFERROR(lifespans_all!E107*DTE_mission_minutes!E29,"-")</f>
        <v>89453.837836666688</v>
      </c>
      <c r="F108" s="108">
        <f>IFERROR(lifespans_all!F107*DTE_mission_minutes!F29,"-")</f>
        <v>89453.837836666688</v>
      </c>
      <c r="G108" s="108">
        <f>IFERROR(lifespans_all!G107*DTE_mission_minutes!G29,"-")</f>
        <v>89453.837836666688</v>
      </c>
      <c r="H108" s="108">
        <f>IFERROR(lifespans_all!H107*DTE_mission_minutes!H29,"-")</f>
        <v>89453.837836666688</v>
      </c>
      <c r="I108" s="108">
        <f>IFERROR(lifespans_all!I107*DTE_mission_minutes!I29,"-")</f>
        <v>89453.837836666688</v>
      </c>
      <c r="J108" s="108">
        <f>IFERROR(lifespans_all!J107*DTE_mission_minutes!J29,"-")</f>
        <v>89453.837836666688</v>
      </c>
      <c r="K108" s="108">
        <f>IFERROR(lifespans_all!K107*DTE_mission_minutes!K29,"-")</f>
        <v>89453.837836666688</v>
      </c>
      <c r="L108" s="108">
        <f>IFERROR(lifespans_all!L107*DTE_mission_minutes!L29,"-")</f>
        <v>89453.837836666688</v>
      </c>
      <c r="M108" s="108">
        <f>IFERROR(lifespans_all!M107*DTE_mission_minutes!M29,"-")</f>
        <v>89453.837836666688</v>
      </c>
      <c r="N108" s="108">
        <f>IFERROR(lifespans_all!N107*DTE_mission_minutes!N29,"-")</f>
        <v>89453.837836666688</v>
      </c>
      <c r="O108" s="108">
        <f>IFERROR(lifespans_all!O107*DTE_mission_minutes!O29,"-")</f>
        <v>89453.837836666688</v>
      </c>
      <c r="P108" s="108">
        <f>IFERROR(lifespans_all!P107*DTE_mission_minutes!P29,"-")</f>
        <v>89453.837836666688</v>
      </c>
      <c r="Q108" s="108">
        <f>IFERROR(lifespans_all!Q107*DTE_mission_minutes!Q29,"-")</f>
        <v>89453.837836666688</v>
      </c>
      <c r="R108" s="108">
        <f>IFERROR(lifespans_all!R107*DTE_mission_minutes!R29,"-")</f>
        <v>89453.837836666688</v>
      </c>
      <c r="S108" s="108">
        <f>IFERROR(lifespans_all!S107*DTE_mission_minutes!S29,"-")</f>
        <v>89453.837836666688</v>
      </c>
      <c r="T108" s="108">
        <f>IFERROR(lifespans_all!T107*DTE_mission_minutes!T29,"-")</f>
        <v>89453.837836666688</v>
      </c>
      <c r="U108" s="108">
        <f>IFERROR(lifespans_all!U107*DTE_mission_minutes!U29,"-")</f>
        <v>89453.837836666688</v>
      </c>
      <c r="V108" s="108">
        <f>IFERROR(lifespans_all!V107*DTE_mission_minutes!V29,"-")</f>
        <v>89453.837836666688</v>
      </c>
    </row>
    <row r="109" spans="1:22" x14ac:dyDescent="0.25">
      <c r="A109" s="32" t="s">
        <v>61</v>
      </c>
      <c r="B109" s="40" t="s">
        <v>42</v>
      </c>
      <c r="C109" s="108">
        <f>IFERROR(lifespans_all!C108*DTE_mission_minutes!C30,"-")</f>
        <v>721.11352444444435</v>
      </c>
      <c r="D109" s="108">
        <f>IFERROR(lifespans_all!D108*DTE_mission_minutes!D30,"-")</f>
        <v>721.11352444444435</v>
      </c>
      <c r="E109" s="108">
        <f>IFERROR(lifespans_all!E108*DTE_mission_minutes!E30,"-")</f>
        <v>721.11352444444435</v>
      </c>
      <c r="F109" s="108">
        <f>IFERROR(lifespans_all!F108*DTE_mission_minutes!F30,"-")</f>
        <v>721.11352444444435</v>
      </c>
      <c r="G109" s="108">
        <f>IFERROR(lifespans_all!G108*DTE_mission_minutes!G30,"-")</f>
        <v>721.11352444444435</v>
      </c>
      <c r="H109" s="108">
        <f>IFERROR(lifespans_all!H108*DTE_mission_minutes!H30,"-")</f>
        <v>721.11352444444435</v>
      </c>
      <c r="I109" s="108">
        <f>IFERROR(lifespans_all!I108*DTE_mission_minutes!I30,"-")</f>
        <v>721.11352444444435</v>
      </c>
      <c r="J109" s="108">
        <f>IFERROR(lifespans_all!J108*DTE_mission_minutes!J30,"-")</f>
        <v>721.11352444444435</v>
      </c>
      <c r="K109" s="108">
        <f>IFERROR(lifespans_all!K108*DTE_mission_minutes!K30,"-")</f>
        <v>721.11352444444435</v>
      </c>
      <c r="L109" s="108">
        <f>IFERROR(lifespans_all!L108*DTE_mission_minutes!L30,"-")</f>
        <v>721.11352444444435</v>
      </c>
      <c r="M109" s="108">
        <f>IFERROR(lifespans_all!M108*DTE_mission_minutes!M30,"-")</f>
        <v>721.11352444444435</v>
      </c>
      <c r="N109" s="108">
        <f>IFERROR(lifespans_all!N108*DTE_mission_minutes!N30,"-")</f>
        <v>721.11352444444435</v>
      </c>
      <c r="O109" s="108">
        <f>IFERROR(lifespans_all!O108*DTE_mission_minutes!O30,"-")</f>
        <v>721.11352444444435</v>
      </c>
      <c r="P109" s="108">
        <f>IFERROR(lifespans_all!P108*DTE_mission_minutes!P30,"-")</f>
        <v>721.11352444444435</v>
      </c>
      <c r="Q109" s="108">
        <f>IFERROR(lifespans_all!Q108*DTE_mission_minutes!Q30,"-")</f>
        <v>721.11352444444435</v>
      </c>
      <c r="R109" s="108">
        <f>IFERROR(lifespans_all!R108*DTE_mission_minutes!R30,"-")</f>
        <v>721.11352444444435</v>
      </c>
      <c r="S109" s="108">
        <f>IFERROR(lifespans_all!S108*DTE_mission_minutes!S30,"-")</f>
        <v>721.11352444444435</v>
      </c>
      <c r="T109" s="108">
        <f>IFERROR(lifespans_all!T108*DTE_mission_minutes!T30,"-")</f>
        <v>721.11352444444435</v>
      </c>
      <c r="U109" s="108">
        <f>IFERROR(lifespans_all!U108*DTE_mission_minutes!U30,"-")</f>
        <v>721.11352444444435</v>
      </c>
      <c r="V109" s="108">
        <f>IFERROR(lifespans_all!V108*DTE_mission_minutes!V30,"-")</f>
        <v>721.11352444444435</v>
      </c>
    </row>
    <row r="110" spans="1:22" x14ac:dyDescent="0.25">
      <c r="A110" s="32" t="s">
        <v>71</v>
      </c>
      <c r="B110" s="33" t="s">
        <v>40</v>
      </c>
      <c r="C110" s="108">
        <f>IFERROR(lifespans_all!C109*DTE_mission_minutes!C31,"-")</f>
        <v>221.29177222222222</v>
      </c>
      <c r="D110" s="108">
        <f>IFERROR(lifespans_all!D109*DTE_mission_minutes!D31,"-")</f>
        <v>244.03194444444446</v>
      </c>
      <c r="E110" s="108">
        <f>IFERROR(lifespans_all!E109*DTE_mission_minutes!E31,"-")</f>
        <v>0</v>
      </c>
      <c r="F110" s="108">
        <f>IFERROR(lifespans_all!F109*DTE_mission_minutes!F31,"-")</f>
        <v>0</v>
      </c>
      <c r="G110" s="108">
        <f>IFERROR(lifespans_all!G109*DTE_mission_minutes!G31,"-")</f>
        <v>0</v>
      </c>
      <c r="H110" s="108">
        <f>IFERROR(lifespans_all!H109*DTE_mission_minutes!H31,"-")</f>
        <v>0</v>
      </c>
      <c r="I110" s="108">
        <f>IFERROR(lifespans_all!I109*DTE_mission_minutes!I31,"-")</f>
        <v>0</v>
      </c>
      <c r="J110" s="108">
        <f>IFERROR(lifespans_all!J109*DTE_mission_minutes!J31,"-")</f>
        <v>0</v>
      </c>
      <c r="K110" s="108">
        <f>IFERROR(lifespans_all!K109*DTE_mission_minutes!K31,"-")</f>
        <v>0</v>
      </c>
      <c r="L110" s="108">
        <f>IFERROR(lifespans_all!L109*DTE_mission_minutes!L31,"-")</f>
        <v>0</v>
      </c>
      <c r="M110" s="108">
        <f>IFERROR(lifespans_all!M109*DTE_mission_minutes!M31,"-")</f>
        <v>0</v>
      </c>
      <c r="N110" s="108">
        <f>IFERROR(lifespans_all!N109*DTE_mission_minutes!N31,"-")</f>
        <v>0</v>
      </c>
      <c r="O110" s="108">
        <f>IFERROR(lifespans_all!O109*DTE_mission_minutes!O31,"-")</f>
        <v>0</v>
      </c>
      <c r="P110" s="108">
        <f>IFERROR(lifespans_all!P109*DTE_mission_minutes!P31,"-")</f>
        <v>0</v>
      </c>
      <c r="Q110" s="108">
        <f>IFERROR(lifespans_all!Q109*DTE_mission_minutes!Q31,"-")</f>
        <v>0</v>
      </c>
      <c r="R110" s="108">
        <f>IFERROR(lifespans_all!R109*DTE_mission_minutes!R31,"-")</f>
        <v>0</v>
      </c>
      <c r="S110" s="108">
        <f>IFERROR(lifespans_all!S109*DTE_mission_minutes!S31,"-")</f>
        <v>0</v>
      </c>
      <c r="T110" s="108">
        <f>IFERROR(lifespans_all!T109*DTE_mission_minutes!T31,"-")</f>
        <v>0</v>
      </c>
      <c r="U110" s="108">
        <f>IFERROR(lifespans_all!U109*DTE_mission_minutes!U31,"-")</f>
        <v>0</v>
      </c>
      <c r="V110" s="108">
        <f>IFERROR(lifespans_all!V109*DTE_mission_minutes!V31,"-")</f>
        <v>0</v>
      </c>
    </row>
    <row r="111" spans="1:22" x14ac:dyDescent="0.25">
      <c r="A111" s="32" t="s">
        <v>27</v>
      </c>
      <c r="B111" s="40" t="s">
        <v>45</v>
      </c>
      <c r="C111" s="108">
        <f>IFERROR(lifespans_all!C110*DTE_mission_minutes!C32,"-")</f>
        <v>64.996111111111119</v>
      </c>
      <c r="D111" s="108">
        <f>IFERROR(lifespans_all!D110*DTE_mission_minutes!D32,"-")</f>
        <v>0</v>
      </c>
      <c r="E111" s="108">
        <f>IFERROR(lifespans_all!E110*DTE_mission_minutes!E32,"-")</f>
        <v>0</v>
      </c>
      <c r="F111" s="108">
        <f>IFERROR(lifespans_all!F110*DTE_mission_minutes!F32,"-")</f>
        <v>0</v>
      </c>
      <c r="G111" s="108">
        <f>IFERROR(lifespans_all!G110*DTE_mission_minutes!G32,"-")</f>
        <v>0</v>
      </c>
      <c r="H111" s="108">
        <f>IFERROR(lifespans_all!H110*DTE_mission_minutes!H32,"-")</f>
        <v>0</v>
      </c>
      <c r="I111" s="108">
        <f>IFERROR(lifespans_all!I110*DTE_mission_minutes!I32,"-")</f>
        <v>0</v>
      </c>
      <c r="J111" s="108">
        <f>IFERROR(lifespans_all!J110*DTE_mission_minutes!J32,"-")</f>
        <v>0</v>
      </c>
      <c r="K111" s="108">
        <f>IFERROR(lifespans_all!K110*DTE_mission_minutes!K32,"-")</f>
        <v>0</v>
      </c>
      <c r="L111" s="108">
        <f>IFERROR(lifespans_all!L110*DTE_mission_minutes!L32,"-")</f>
        <v>0</v>
      </c>
      <c r="M111" s="108">
        <f>IFERROR(lifespans_all!M110*DTE_mission_minutes!M32,"-")</f>
        <v>0</v>
      </c>
      <c r="N111" s="108">
        <f>IFERROR(lifespans_all!N110*DTE_mission_minutes!N32,"-")</f>
        <v>0</v>
      </c>
      <c r="O111" s="108">
        <f>IFERROR(lifespans_all!O110*DTE_mission_minutes!O32,"-")</f>
        <v>0</v>
      </c>
      <c r="P111" s="108">
        <f>IFERROR(lifespans_all!P110*DTE_mission_minutes!P32,"-")</f>
        <v>0</v>
      </c>
      <c r="Q111" s="108">
        <f>IFERROR(lifespans_all!Q110*DTE_mission_minutes!Q32,"-")</f>
        <v>0</v>
      </c>
      <c r="R111" s="108">
        <f>IFERROR(lifespans_all!R110*DTE_mission_minutes!R32,"-")</f>
        <v>0</v>
      </c>
      <c r="S111" s="108">
        <f>IFERROR(lifespans_all!S110*DTE_mission_minutes!S32,"-")</f>
        <v>0</v>
      </c>
      <c r="T111" s="108">
        <f>IFERROR(lifespans_all!T110*DTE_mission_minutes!T32,"-")</f>
        <v>0</v>
      </c>
      <c r="U111" s="108">
        <f>IFERROR(lifespans_all!U110*DTE_mission_minutes!U32,"-")</f>
        <v>0</v>
      </c>
      <c r="V111" s="108">
        <f>IFERROR(lifespans_all!V110*DTE_mission_minutes!V32,"-")</f>
        <v>0</v>
      </c>
    </row>
    <row r="112" spans="1:22" x14ac:dyDescent="0.25">
      <c r="A112" s="32" t="s">
        <v>39</v>
      </c>
      <c r="B112" s="33" t="s">
        <v>41</v>
      </c>
      <c r="C112" s="108">
        <f>IFERROR(lifespans_all!C111*DTE_mission_minutes!C33,"-")</f>
        <v>575.81194444444441</v>
      </c>
      <c r="D112" s="108">
        <f>IFERROR(lifespans_all!D111*DTE_mission_minutes!D33,"-")</f>
        <v>580.59861111111104</v>
      </c>
      <c r="E112" s="108">
        <f>IFERROR(lifespans_all!E111*DTE_mission_minutes!E33,"-")</f>
        <v>499.24888888888893</v>
      </c>
      <c r="F112" s="108">
        <f>IFERROR(lifespans_all!F111*DTE_mission_minutes!F33,"-")</f>
        <v>565.82727777777768</v>
      </c>
      <c r="G112" s="108">
        <f>IFERROR(lifespans_all!G111*DTE_mission_minutes!G33,"-")</f>
        <v>0</v>
      </c>
      <c r="H112" s="108">
        <f>IFERROR(lifespans_all!H111*DTE_mission_minutes!H33,"-")</f>
        <v>0</v>
      </c>
      <c r="I112" s="108">
        <f>IFERROR(lifespans_all!I111*DTE_mission_minutes!I33,"-")</f>
        <v>0</v>
      </c>
      <c r="J112" s="108">
        <f>IFERROR(lifespans_all!J111*DTE_mission_minutes!J33,"-")</f>
        <v>0</v>
      </c>
      <c r="K112" s="108">
        <f>IFERROR(lifespans_all!K111*DTE_mission_minutes!K33,"-")</f>
        <v>0</v>
      </c>
      <c r="L112" s="108">
        <f>IFERROR(lifespans_all!L111*DTE_mission_minutes!L33,"-")</f>
        <v>0</v>
      </c>
      <c r="M112" s="108">
        <f>IFERROR(lifespans_all!M111*DTE_mission_minutes!M33,"-")</f>
        <v>0</v>
      </c>
      <c r="N112" s="108">
        <f>IFERROR(lifespans_all!N111*DTE_mission_minutes!N33,"-")</f>
        <v>0</v>
      </c>
      <c r="O112" s="108">
        <f>IFERROR(lifespans_all!O111*DTE_mission_minutes!O33,"-")</f>
        <v>0</v>
      </c>
      <c r="P112" s="108">
        <f>IFERROR(lifespans_all!P111*DTE_mission_minutes!P33,"-")</f>
        <v>0</v>
      </c>
      <c r="Q112" s="108">
        <f>IFERROR(lifespans_all!Q111*DTE_mission_minutes!Q33,"-")</f>
        <v>0</v>
      </c>
      <c r="R112" s="108">
        <f>IFERROR(lifespans_all!R111*DTE_mission_minutes!R33,"-")</f>
        <v>0</v>
      </c>
      <c r="S112" s="108">
        <f>IFERROR(lifespans_all!S111*DTE_mission_minutes!S33,"-")</f>
        <v>0</v>
      </c>
      <c r="T112" s="108">
        <f>IFERROR(lifespans_all!T111*DTE_mission_minutes!T33,"-")</f>
        <v>0</v>
      </c>
      <c r="U112" s="108">
        <f>IFERROR(lifespans_all!U111*DTE_mission_minutes!U33,"-")</f>
        <v>0</v>
      </c>
      <c r="V112" s="108">
        <f>IFERROR(lifespans_all!V111*DTE_mission_minutes!V33,"-")</f>
        <v>0</v>
      </c>
    </row>
    <row r="113" spans="1:22" x14ac:dyDescent="0.25">
      <c r="A113" s="32" t="s">
        <v>28</v>
      </c>
      <c r="B113" s="32"/>
      <c r="C113" s="108" t="str">
        <f>IFERROR(lifespans_all!C112*DTE_mission_minutes!C34,"-")</f>
        <v>-</v>
      </c>
      <c r="D113" s="108" t="str">
        <f>IFERROR(lifespans_all!D112*DTE_mission_minutes!D34,"-")</f>
        <v>-</v>
      </c>
      <c r="E113" s="108" t="str">
        <f>IFERROR(lifespans_all!E112*DTE_mission_minutes!E34,"-")</f>
        <v>-</v>
      </c>
      <c r="F113" s="108" t="str">
        <f>IFERROR(lifespans_all!F112*DTE_mission_minutes!F34,"-")</f>
        <v>-</v>
      </c>
      <c r="G113" s="108" t="str">
        <f>IFERROR(lifespans_all!G112*DTE_mission_minutes!G34,"-")</f>
        <v>-</v>
      </c>
      <c r="H113" s="108" t="str">
        <f>IFERROR(lifespans_all!H112*DTE_mission_minutes!H34,"-")</f>
        <v>-</v>
      </c>
      <c r="I113" s="108" t="str">
        <f>IFERROR(lifespans_all!I112*DTE_mission_minutes!I34,"-")</f>
        <v>-</v>
      </c>
      <c r="J113" s="108" t="str">
        <f>IFERROR(lifespans_all!J112*DTE_mission_minutes!J34,"-")</f>
        <v>-</v>
      </c>
      <c r="K113" s="108" t="str">
        <f>IFERROR(lifespans_all!K112*DTE_mission_minutes!K34,"-")</f>
        <v>-</v>
      </c>
      <c r="L113" s="108" t="str">
        <f>IFERROR(lifespans_all!L112*DTE_mission_minutes!L34,"-")</f>
        <v>-</v>
      </c>
      <c r="M113" s="108" t="str">
        <f>IFERROR(lifespans_all!M112*DTE_mission_minutes!M34,"-")</f>
        <v>-</v>
      </c>
      <c r="N113" s="108" t="str">
        <f>IFERROR(lifespans_all!N112*DTE_mission_minutes!N34,"-")</f>
        <v>-</v>
      </c>
      <c r="O113" s="108" t="str">
        <f>IFERROR(lifespans_all!O112*DTE_mission_minutes!O34,"-")</f>
        <v>-</v>
      </c>
      <c r="P113" s="108" t="str">
        <f>IFERROR(lifespans_all!P112*DTE_mission_minutes!P34,"-")</f>
        <v>-</v>
      </c>
      <c r="Q113" s="108" t="str">
        <f>IFERROR(lifespans_all!Q112*DTE_mission_minutes!Q34,"-")</f>
        <v>-</v>
      </c>
      <c r="R113" s="108" t="str">
        <f>IFERROR(lifespans_all!R112*DTE_mission_minutes!R34,"-")</f>
        <v>-</v>
      </c>
      <c r="S113" s="108" t="str">
        <f>IFERROR(lifespans_all!S112*DTE_mission_minutes!S34,"-")</f>
        <v>-</v>
      </c>
      <c r="T113" s="108" t="str">
        <f>IFERROR(lifespans_all!T112*DTE_mission_minutes!T34,"-")</f>
        <v>-</v>
      </c>
      <c r="U113" s="108" t="str">
        <f>IFERROR(lifespans_all!U112*DTE_mission_minutes!U34,"-")</f>
        <v>-</v>
      </c>
      <c r="V113" s="108" t="str">
        <f>IFERROR(lifespans_all!V112*DTE_mission_minutes!V34,"-")</f>
        <v>-</v>
      </c>
    </row>
    <row r="114" spans="1:22" x14ac:dyDescent="0.25">
      <c r="A114" s="32" t="s">
        <v>62</v>
      </c>
      <c r="B114" s="33" t="s">
        <v>41</v>
      </c>
      <c r="C114" s="108">
        <f>IFERROR(lifespans_all!C113*DTE_mission_minutes!C35,"-")</f>
        <v>64.579722222222216</v>
      </c>
      <c r="D114" s="108">
        <f>IFERROR(lifespans_all!D113*DTE_mission_minutes!D35,"-")</f>
        <v>56.487941666666664</v>
      </c>
      <c r="E114" s="108">
        <f>IFERROR(lifespans_all!E113*DTE_mission_minutes!E35,"-")</f>
        <v>49.259444444444441</v>
      </c>
      <c r="F114" s="108">
        <f>IFERROR(lifespans_all!F113*DTE_mission_minutes!F35,"-")</f>
        <v>60.035777777777774</v>
      </c>
      <c r="G114" s="108">
        <f>IFERROR(lifespans_all!G113*DTE_mission_minutes!G35,"-")</f>
        <v>60.035777777777774</v>
      </c>
      <c r="H114" s="108">
        <f>IFERROR(lifespans_all!H113*DTE_mission_minutes!H35,"-")</f>
        <v>0</v>
      </c>
      <c r="I114" s="108">
        <f>IFERROR(lifespans_all!I113*DTE_mission_minutes!I35,"-")</f>
        <v>0</v>
      </c>
      <c r="J114" s="108">
        <f>IFERROR(lifespans_all!J113*DTE_mission_minutes!J35,"-")</f>
        <v>0</v>
      </c>
      <c r="K114" s="108">
        <f>IFERROR(lifespans_all!K113*DTE_mission_minutes!K35,"-")</f>
        <v>0</v>
      </c>
      <c r="L114" s="108">
        <f>IFERROR(lifespans_all!L113*DTE_mission_minutes!L35,"-")</f>
        <v>0</v>
      </c>
      <c r="M114" s="108">
        <f>IFERROR(lifespans_all!M113*DTE_mission_minutes!M35,"-")</f>
        <v>0</v>
      </c>
      <c r="N114" s="108">
        <f>IFERROR(lifespans_all!N113*DTE_mission_minutes!N35,"-")</f>
        <v>0</v>
      </c>
      <c r="O114" s="108">
        <f>IFERROR(lifespans_all!O113*DTE_mission_minutes!O35,"-")</f>
        <v>0</v>
      </c>
      <c r="P114" s="108">
        <f>IFERROR(lifespans_all!P113*DTE_mission_minutes!P35,"-")</f>
        <v>0</v>
      </c>
      <c r="Q114" s="108">
        <f>IFERROR(lifespans_all!Q113*DTE_mission_minutes!Q35,"-")</f>
        <v>0</v>
      </c>
      <c r="R114" s="108">
        <f>IFERROR(lifespans_all!R113*DTE_mission_minutes!R35,"-")</f>
        <v>0</v>
      </c>
      <c r="S114" s="108">
        <f>IFERROR(lifespans_all!S113*DTE_mission_minutes!S35,"-")</f>
        <v>0</v>
      </c>
      <c r="T114" s="108">
        <f>IFERROR(lifespans_all!T113*DTE_mission_minutes!T35,"-")</f>
        <v>0</v>
      </c>
      <c r="U114" s="108">
        <f>IFERROR(lifespans_all!U113*DTE_mission_minutes!U35,"-")</f>
        <v>0</v>
      </c>
      <c r="V114" s="108">
        <f>IFERROR(lifespans_all!V113*DTE_mission_minutes!V35,"-")</f>
        <v>0</v>
      </c>
    </row>
    <row r="115" spans="1:22" x14ac:dyDescent="0.25">
      <c r="A115" s="32" t="s">
        <v>29</v>
      </c>
      <c r="B115" s="33" t="s">
        <v>41</v>
      </c>
      <c r="C115" s="108">
        <f>IFERROR(lifespans_all!C114*DTE_mission_minutes!C36,"-")</f>
        <v>133409.35004928565</v>
      </c>
      <c r="D115" s="108">
        <f>IFERROR(lifespans_all!D114*DTE_mission_minutes!D36,"-")</f>
        <v>133409.35004928565</v>
      </c>
      <c r="E115" s="108">
        <f>IFERROR(lifespans_all!E114*DTE_mission_minutes!E36,"-")</f>
        <v>133409.35004928565</v>
      </c>
      <c r="F115" s="108">
        <f>IFERROR(lifespans_all!F114*DTE_mission_minutes!F36,"-")</f>
        <v>0</v>
      </c>
      <c r="G115" s="108">
        <f>IFERROR(lifespans_all!G114*DTE_mission_minutes!G36,"-")</f>
        <v>0</v>
      </c>
      <c r="H115" s="108">
        <f>IFERROR(lifespans_all!H114*DTE_mission_minutes!H36,"-")</f>
        <v>0</v>
      </c>
      <c r="I115" s="108">
        <f>IFERROR(lifespans_all!I114*DTE_mission_minutes!I36,"-")</f>
        <v>0</v>
      </c>
      <c r="J115" s="108">
        <f>IFERROR(lifespans_all!J114*DTE_mission_minutes!J36,"-")</f>
        <v>0</v>
      </c>
      <c r="K115" s="108">
        <f>IFERROR(lifespans_all!K114*DTE_mission_minutes!K36,"-")</f>
        <v>0</v>
      </c>
      <c r="L115" s="108">
        <f>IFERROR(lifespans_all!L114*DTE_mission_minutes!L36,"-")</f>
        <v>0</v>
      </c>
      <c r="M115" s="108">
        <f>IFERROR(lifespans_all!M114*DTE_mission_minutes!M36,"-")</f>
        <v>0</v>
      </c>
      <c r="N115" s="108">
        <f>IFERROR(lifespans_all!N114*DTE_mission_minutes!N36,"-")</f>
        <v>0</v>
      </c>
      <c r="O115" s="108">
        <f>IFERROR(lifespans_all!O114*DTE_mission_minutes!O36,"-")</f>
        <v>0</v>
      </c>
      <c r="P115" s="108">
        <f>IFERROR(lifespans_all!P114*DTE_mission_minutes!P36,"-")</f>
        <v>0</v>
      </c>
      <c r="Q115" s="108">
        <f>IFERROR(lifespans_all!Q114*DTE_mission_minutes!Q36,"-")</f>
        <v>0</v>
      </c>
      <c r="R115" s="108">
        <f>IFERROR(lifespans_all!R114*DTE_mission_minutes!R36,"-")</f>
        <v>0</v>
      </c>
      <c r="S115" s="108">
        <f>IFERROR(lifespans_all!S114*DTE_mission_minutes!S36,"-")</f>
        <v>0</v>
      </c>
      <c r="T115" s="108">
        <f>IFERROR(lifespans_all!T114*DTE_mission_minutes!T36,"-")</f>
        <v>0</v>
      </c>
      <c r="U115" s="108">
        <f>IFERROR(lifespans_all!U114*DTE_mission_minutes!U36,"-")</f>
        <v>0</v>
      </c>
      <c r="V115" s="108">
        <f>IFERROR(lifespans_all!V114*DTE_mission_minutes!V36,"-")</f>
        <v>0</v>
      </c>
    </row>
    <row r="116" spans="1:22" x14ac:dyDescent="0.25">
      <c r="A116" s="32" t="s">
        <v>30</v>
      </c>
      <c r="B116" s="40" t="s">
        <v>43</v>
      </c>
      <c r="C116" s="108">
        <f>IFERROR(lifespans_all!C115*DTE_mission_minutes!C37,"-")</f>
        <v>171572.29579277776</v>
      </c>
      <c r="D116" s="108">
        <f>IFERROR(lifespans_all!D115*DTE_mission_minutes!D37,"-")</f>
        <v>171572.29579277776</v>
      </c>
      <c r="E116" s="108">
        <f>IFERROR(lifespans_all!E115*DTE_mission_minutes!E37,"-")</f>
        <v>171572.29579277776</v>
      </c>
      <c r="F116" s="108">
        <f>IFERROR(lifespans_all!F115*DTE_mission_minutes!F37,"-")</f>
        <v>171572.29579277776</v>
      </c>
      <c r="G116" s="108">
        <f>IFERROR(lifespans_all!G115*DTE_mission_minutes!G37,"-")</f>
        <v>171572.29579277776</v>
      </c>
      <c r="H116" s="108">
        <f>IFERROR(lifespans_all!H115*DTE_mission_minutes!H37,"-")</f>
        <v>171572.29579277776</v>
      </c>
      <c r="I116" s="108">
        <f>IFERROR(lifespans_all!I115*DTE_mission_minutes!I37,"-")</f>
        <v>171572.29579277776</v>
      </c>
      <c r="J116" s="108">
        <f>IFERROR(lifespans_all!J115*DTE_mission_minutes!J37,"-")</f>
        <v>171572.29579277776</v>
      </c>
      <c r="K116" s="108">
        <f>IFERROR(lifespans_all!K115*DTE_mission_minutes!K37,"-")</f>
        <v>171572.29579277776</v>
      </c>
      <c r="L116" s="108">
        <f>IFERROR(lifespans_all!L115*DTE_mission_minutes!L37,"-")</f>
        <v>171572.29579277776</v>
      </c>
      <c r="M116" s="108">
        <f>IFERROR(lifespans_all!M115*DTE_mission_minutes!M37,"-")</f>
        <v>171572.29579277776</v>
      </c>
      <c r="N116" s="108">
        <f>IFERROR(lifespans_all!N115*DTE_mission_minutes!N37,"-")</f>
        <v>171572.29579277776</v>
      </c>
      <c r="O116" s="108">
        <f>IFERROR(lifespans_all!O115*DTE_mission_minutes!O37,"-")</f>
        <v>171572.29579277776</v>
      </c>
      <c r="P116" s="108">
        <f>IFERROR(lifespans_all!P115*DTE_mission_minutes!P37,"-")</f>
        <v>171572.29579277776</v>
      </c>
      <c r="Q116" s="108">
        <f>IFERROR(lifespans_all!Q115*DTE_mission_minutes!Q37,"-")</f>
        <v>171572.29579277776</v>
      </c>
      <c r="R116" s="108">
        <f>IFERROR(lifespans_all!R115*DTE_mission_minutes!R37,"-")</f>
        <v>171572.29579277776</v>
      </c>
      <c r="S116" s="108">
        <f>IFERROR(lifespans_all!S115*DTE_mission_minutes!S37,"-")</f>
        <v>171572.29579277776</v>
      </c>
      <c r="T116" s="108">
        <f>IFERROR(lifespans_all!T115*DTE_mission_minutes!T37,"-")</f>
        <v>171572.29579277776</v>
      </c>
      <c r="U116" s="108">
        <f>IFERROR(lifespans_all!U115*DTE_mission_minutes!U37,"-")</f>
        <v>171572.29579277776</v>
      </c>
      <c r="V116" s="108">
        <f>IFERROR(lifespans_all!V115*DTE_mission_minutes!V37,"-")</f>
        <v>171572.29579277776</v>
      </c>
    </row>
    <row r="117" spans="1:22" x14ac:dyDescent="0.25">
      <c r="A117" s="32" t="s">
        <v>31</v>
      </c>
      <c r="B117" s="41" t="s">
        <v>48</v>
      </c>
      <c r="C117" s="108" t="str">
        <f>IFERROR(lifespans_all!C116*DTE_mission_minutes!C38,"-")</f>
        <v>-</v>
      </c>
      <c r="D117" s="108" t="str">
        <f>IFERROR(lifespans_all!D116*DTE_mission_minutes!D38,"-")</f>
        <v>-</v>
      </c>
      <c r="E117" s="108" t="str">
        <f>IFERROR(lifespans_all!E116*DTE_mission_minutes!E38,"-")</f>
        <v>-</v>
      </c>
      <c r="F117" s="108" t="str">
        <f>IFERROR(lifespans_all!F116*DTE_mission_minutes!F38,"-")</f>
        <v>-</v>
      </c>
      <c r="G117" s="108" t="str">
        <f>IFERROR(lifespans_all!G116*DTE_mission_minutes!G38,"-")</f>
        <v>-</v>
      </c>
      <c r="H117" s="108" t="str">
        <f>IFERROR(lifespans_all!H116*DTE_mission_minutes!H38,"-")</f>
        <v>-</v>
      </c>
      <c r="I117" s="108" t="str">
        <f>IFERROR(lifespans_all!I116*DTE_mission_minutes!I38,"-")</f>
        <v>-</v>
      </c>
      <c r="J117" s="108" t="str">
        <f>IFERROR(lifespans_all!J116*DTE_mission_minutes!J38,"-")</f>
        <v>-</v>
      </c>
      <c r="K117" s="108" t="str">
        <f>IFERROR(lifespans_all!K116*DTE_mission_minutes!K38,"-")</f>
        <v>-</v>
      </c>
      <c r="L117" s="108" t="str">
        <f>IFERROR(lifespans_all!L116*DTE_mission_minutes!L38,"-")</f>
        <v>-</v>
      </c>
      <c r="M117" s="108" t="str">
        <f>IFERROR(lifespans_all!M116*DTE_mission_minutes!M38,"-")</f>
        <v>-</v>
      </c>
      <c r="N117" s="108" t="str">
        <f>IFERROR(lifespans_all!N116*DTE_mission_minutes!N38,"-")</f>
        <v>-</v>
      </c>
      <c r="O117" s="108" t="str">
        <f>IFERROR(lifespans_all!O116*DTE_mission_minutes!O38,"-")</f>
        <v>-</v>
      </c>
      <c r="P117" s="108" t="str">
        <f>IFERROR(lifespans_all!P116*DTE_mission_minutes!P38,"-")</f>
        <v>-</v>
      </c>
      <c r="Q117" s="108" t="str">
        <f>IFERROR(lifespans_all!Q116*DTE_mission_minutes!Q38,"-")</f>
        <v>-</v>
      </c>
      <c r="R117" s="108" t="str">
        <f>IFERROR(lifespans_all!R116*DTE_mission_minutes!R38,"-")</f>
        <v>-</v>
      </c>
      <c r="S117" s="108" t="str">
        <f>IFERROR(lifespans_all!S116*DTE_mission_minutes!S38,"-")</f>
        <v>-</v>
      </c>
      <c r="T117" s="108" t="str">
        <f>IFERROR(lifespans_all!T116*DTE_mission_minutes!T38,"-")</f>
        <v>-</v>
      </c>
      <c r="U117" s="108" t="str">
        <f>IFERROR(lifespans_all!U116*DTE_mission_minutes!U38,"-")</f>
        <v>-</v>
      </c>
      <c r="V117" s="108" t="str">
        <f>IFERROR(lifespans_all!V116*DTE_mission_minutes!V38,"-")</f>
        <v>-</v>
      </c>
    </row>
    <row r="118" spans="1:22" x14ac:dyDescent="0.25">
      <c r="A118" s="32" t="s">
        <v>32</v>
      </c>
      <c r="B118" s="41" t="s">
        <v>48</v>
      </c>
      <c r="C118" s="108" t="str">
        <f>IFERROR(lifespans_all!C117*DTE_mission_minutes!C39,"-")</f>
        <v>-</v>
      </c>
      <c r="D118" s="108" t="str">
        <f>IFERROR(lifespans_all!D117*DTE_mission_minutes!D39,"-")</f>
        <v>-</v>
      </c>
      <c r="E118" s="108" t="str">
        <f>IFERROR(lifespans_all!E117*DTE_mission_minutes!E39,"-")</f>
        <v>-</v>
      </c>
      <c r="F118" s="108" t="str">
        <f>IFERROR(lifespans_all!F117*DTE_mission_minutes!F39,"-")</f>
        <v>-</v>
      </c>
      <c r="G118" s="108" t="str">
        <f>IFERROR(lifespans_all!G117*DTE_mission_minutes!G39,"-")</f>
        <v>-</v>
      </c>
      <c r="H118" s="108" t="str">
        <f>IFERROR(lifespans_all!H117*DTE_mission_minutes!H39,"-")</f>
        <v>-</v>
      </c>
      <c r="I118" s="108" t="str">
        <f>IFERROR(lifespans_all!I117*DTE_mission_minutes!I39,"-")</f>
        <v>-</v>
      </c>
      <c r="J118" s="108" t="str">
        <f>IFERROR(lifespans_all!J117*DTE_mission_minutes!J39,"-")</f>
        <v>-</v>
      </c>
      <c r="K118" s="108" t="str">
        <f>IFERROR(lifespans_all!K117*DTE_mission_minutes!K39,"-")</f>
        <v>-</v>
      </c>
      <c r="L118" s="108" t="str">
        <f>IFERROR(lifespans_all!L117*DTE_mission_minutes!L39,"-")</f>
        <v>-</v>
      </c>
      <c r="M118" s="108" t="str">
        <f>IFERROR(lifespans_all!M117*DTE_mission_minutes!M39,"-")</f>
        <v>-</v>
      </c>
      <c r="N118" s="108" t="str">
        <f>IFERROR(lifespans_all!N117*DTE_mission_minutes!N39,"-")</f>
        <v>-</v>
      </c>
      <c r="O118" s="108" t="str">
        <f>IFERROR(lifespans_all!O117*DTE_mission_minutes!O39,"-")</f>
        <v>-</v>
      </c>
      <c r="P118" s="108" t="str">
        <f>IFERROR(lifespans_all!P117*DTE_mission_minutes!P39,"-")</f>
        <v>-</v>
      </c>
      <c r="Q118" s="108" t="str">
        <f>IFERROR(lifespans_all!Q117*DTE_mission_minutes!Q39,"-")</f>
        <v>-</v>
      </c>
      <c r="R118" s="108" t="str">
        <f>IFERROR(lifespans_all!R117*DTE_mission_minutes!R39,"-")</f>
        <v>-</v>
      </c>
      <c r="S118" s="108" t="str">
        <f>IFERROR(lifespans_all!S117*DTE_mission_minutes!S39,"-")</f>
        <v>-</v>
      </c>
      <c r="T118" s="108" t="str">
        <f>IFERROR(lifespans_all!T117*DTE_mission_minutes!T39,"-")</f>
        <v>-</v>
      </c>
      <c r="U118" s="108" t="str">
        <f>IFERROR(lifespans_all!U117*DTE_mission_minutes!U39,"-")</f>
        <v>-</v>
      </c>
      <c r="V118" s="108" t="str">
        <f>IFERROR(lifespans_all!V117*DTE_mission_minutes!V39,"-")</f>
        <v>-</v>
      </c>
    </row>
    <row r="119" spans="1:22" x14ac:dyDescent="0.25">
      <c r="A119" s="32" t="s">
        <v>33</v>
      </c>
      <c r="B119" s="33" t="s">
        <v>41</v>
      </c>
      <c r="C119" s="108">
        <f>IFERROR(lifespans_all!C118*DTE_mission_minutes!C40,"-")</f>
        <v>0</v>
      </c>
      <c r="D119" s="108">
        <f>IFERROR(lifespans_all!D118*DTE_mission_minutes!D40,"-")</f>
        <v>0</v>
      </c>
      <c r="E119" s="108">
        <f>IFERROR(lifespans_all!E118*DTE_mission_minutes!E40,"-")</f>
        <v>0</v>
      </c>
      <c r="F119" s="108">
        <f>IFERROR(lifespans_all!F118*DTE_mission_minutes!F40,"-")</f>
        <v>0</v>
      </c>
      <c r="G119" s="108">
        <f>IFERROR(lifespans_all!G118*DTE_mission_minutes!G40,"-")</f>
        <v>0</v>
      </c>
      <c r="H119" s="108">
        <f>IFERROR(lifespans_all!H118*DTE_mission_minutes!H40,"-")</f>
        <v>0</v>
      </c>
      <c r="I119" s="108">
        <f>IFERROR(lifespans_all!I118*DTE_mission_minutes!I40,"-")</f>
        <v>0</v>
      </c>
      <c r="J119" s="108">
        <f>IFERROR(lifespans_all!J118*DTE_mission_minutes!J40,"-")</f>
        <v>0</v>
      </c>
      <c r="K119" s="108">
        <f>IFERROR(lifespans_all!K118*DTE_mission_minutes!K40,"-")</f>
        <v>0</v>
      </c>
      <c r="L119" s="108">
        <f>IFERROR(lifespans_all!L118*DTE_mission_minutes!L40,"-")</f>
        <v>0</v>
      </c>
      <c r="M119" s="108">
        <f>IFERROR(lifespans_all!M118*DTE_mission_minutes!M40,"-")</f>
        <v>0</v>
      </c>
      <c r="N119" s="108">
        <f>IFERROR(lifespans_all!N118*DTE_mission_minutes!N40,"-")</f>
        <v>0</v>
      </c>
      <c r="O119" s="108">
        <f>IFERROR(lifespans_all!O118*DTE_mission_minutes!O40,"-")</f>
        <v>0</v>
      </c>
      <c r="P119" s="108">
        <f>IFERROR(lifespans_all!P118*DTE_mission_minutes!P40,"-")</f>
        <v>0</v>
      </c>
      <c r="Q119" s="108">
        <f>IFERROR(lifespans_all!Q118*DTE_mission_minutes!Q40,"-")</f>
        <v>0</v>
      </c>
      <c r="R119" s="108">
        <f>IFERROR(lifespans_all!R118*DTE_mission_minutes!R40,"-")</f>
        <v>0</v>
      </c>
      <c r="S119" s="108">
        <f>IFERROR(lifespans_all!S118*DTE_mission_minutes!S40,"-")</f>
        <v>0</v>
      </c>
      <c r="T119" s="108">
        <f>IFERROR(lifespans_all!T118*DTE_mission_minutes!T40,"-")</f>
        <v>0</v>
      </c>
      <c r="U119" s="108">
        <f>IFERROR(lifespans_all!U118*DTE_mission_minutes!U40,"-")</f>
        <v>0</v>
      </c>
      <c r="V119" s="108">
        <f>IFERROR(lifespans_all!V118*DTE_mission_minutes!V40,"-")</f>
        <v>0</v>
      </c>
    </row>
    <row r="120" spans="1:22" x14ac:dyDescent="0.25">
      <c r="A120" s="32" t="s">
        <v>34</v>
      </c>
      <c r="B120" s="40" t="s">
        <v>45</v>
      </c>
      <c r="C120" s="108">
        <f>IFERROR(lifespans_all!C119*DTE_mission_minutes!C41,"-")</f>
        <v>1321.6547222222223</v>
      </c>
      <c r="D120" s="108">
        <f>IFERROR(lifespans_all!D119*DTE_mission_minutes!D41,"-")</f>
        <v>1450.1822222222222</v>
      </c>
      <c r="E120" s="108">
        <f>IFERROR(lifespans_all!E119*DTE_mission_minutes!E41,"-")</f>
        <v>1386.2452777777776</v>
      </c>
      <c r="F120" s="108">
        <f>IFERROR(lifespans_all!F119*DTE_mission_minutes!F41,"-")</f>
        <v>1393.7255555555555</v>
      </c>
      <c r="G120" s="108">
        <f>IFERROR(lifespans_all!G119*DTE_mission_minutes!G41,"-")</f>
        <v>1393.7255555555555</v>
      </c>
      <c r="H120" s="108">
        <f>IFERROR(lifespans_all!H119*DTE_mission_minutes!H41,"-")</f>
        <v>0</v>
      </c>
      <c r="I120" s="108">
        <f>IFERROR(lifespans_all!I119*DTE_mission_minutes!I41,"-")</f>
        <v>0</v>
      </c>
      <c r="J120" s="108">
        <f>IFERROR(lifespans_all!J119*DTE_mission_minutes!J41,"-")</f>
        <v>0</v>
      </c>
      <c r="K120" s="108">
        <f>IFERROR(lifespans_all!K119*DTE_mission_minutes!K41,"-")</f>
        <v>0</v>
      </c>
      <c r="L120" s="108">
        <f>IFERROR(lifespans_all!L119*DTE_mission_minutes!L41,"-")</f>
        <v>0</v>
      </c>
      <c r="M120" s="108">
        <f>IFERROR(lifespans_all!M119*DTE_mission_minutes!M41,"-")</f>
        <v>0</v>
      </c>
      <c r="N120" s="108">
        <f>IFERROR(lifespans_all!N119*DTE_mission_minutes!N41,"-")</f>
        <v>0</v>
      </c>
      <c r="O120" s="108">
        <f>IFERROR(lifespans_all!O119*DTE_mission_minutes!O41,"-")</f>
        <v>0</v>
      </c>
      <c r="P120" s="108">
        <f>IFERROR(lifespans_all!P119*DTE_mission_minutes!P41,"-")</f>
        <v>0</v>
      </c>
      <c r="Q120" s="108">
        <f>IFERROR(lifespans_all!Q119*DTE_mission_minutes!Q41,"-")</f>
        <v>0</v>
      </c>
      <c r="R120" s="108">
        <f>IFERROR(lifespans_all!R119*DTE_mission_minutes!R41,"-")</f>
        <v>0</v>
      </c>
      <c r="S120" s="108">
        <f>IFERROR(lifespans_all!S119*DTE_mission_minutes!S41,"-")</f>
        <v>0</v>
      </c>
      <c r="T120" s="108">
        <f>IFERROR(lifespans_all!T119*DTE_mission_minutes!T41,"-")</f>
        <v>0</v>
      </c>
      <c r="U120" s="108">
        <f>IFERROR(lifespans_all!U119*DTE_mission_minutes!U41,"-")</f>
        <v>0</v>
      </c>
      <c r="V120" s="108">
        <f>IFERROR(lifespans_all!V119*DTE_mission_minutes!V41,"-")</f>
        <v>0</v>
      </c>
    </row>
    <row r="121" spans="1:22" x14ac:dyDescent="0.25">
      <c r="A121" s="32" t="s">
        <v>63</v>
      </c>
      <c r="B121" s="40" t="s">
        <v>43</v>
      </c>
      <c r="C121" s="108">
        <f>IFERROR(lifespans_all!C120*DTE_mission_minutes!C42,"-")</f>
        <v>171572.29579277776</v>
      </c>
      <c r="D121" s="108">
        <f>IFERROR(lifespans_all!D120*DTE_mission_minutes!D42,"-")</f>
        <v>171572.29579277776</v>
      </c>
      <c r="E121" s="108">
        <f>IFERROR(lifespans_all!E120*DTE_mission_minutes!E42,"-")</f>
        <v>171572.29579277776</v>
      </c>
      <c r="F121" s="108">
        <f>IFERROR(lifespans_all!F120*DTE_mission_minutes!F42,"-")</f>
        <v>171572.29579277776</v>
      </c>
      <c r="G121" s="108">
        <f>IFERROR(lifespans_all!G120*DTE_mission_minutes!G42,"-")</f>
        <v>171572.29579277776</v>
      </c>
      <c r="H121" s="108">
        <f>IFERROR(lifespans_all!H120*DTE_mission_minutes!H42,"-")</f>
        <v>171572.29579277776</v>
      </c>
      <c r="I121" s="108">
        <f>IFERROR(lifespans_all!I120*DTE_mission_minutes!I42,"-")</f>
        <v>171572.29579277776</v>
      </c>
      <c r="J121" s="108">
        <f>IFERROR(lifespans_all!J120*DTE_mission_minutes!J42,"-")</f>
        <v>171572.29579277776</v>
      </c>
      <c r="K121" s="108">
        <f>IFERROR(lifespans_all!K120*DTE_mission_minutes!K42,"-")</f>
        <v>171572.29579277776</v>
      </c>
      <c r="L121" s="108">
        <f>IFERROR(lifespans_all!L120*DTE_mission_minutes!L42,"-")</f>
        <v>171572.29579277776</v>
      </c>
      <c r="M121" s="108">
        <f>IFERROR(lifespans_all!M120*DTE_mission_minutes!M42,"-")</f>
        <v>171572.29579277776</v>
      </c>
      <c r="N121" s="108">
        <f>IFERROR(lifespans_all!N120*DTE_mission_minutes!N42,"-")</f>
        <v>171572.29579277776</v>
      </c>
      <c r="O121" s="108">
        <f>IFERROR(lifespans_all!O120*DTE_mission_minutes!O42,"-")</f>
        <v>171572.29579277776</v>
      </c>
      <c r="P121" s="108">
        <f>IFERROR(lifespans_all!P120*DTE_mission_minutes!P42,"-")</f>
        <v>171572.29579277776</v>
      </c>
      <c r="Q121" s="108">
        <f>IFERROR(lifespans_all!Q120*DTE_mission_minutes!Q42,"-")</f>
        <v>171572.29579277776</v>
      </c>
      <c r="R121" s="108">
        <f>IFERROR(lifespans_all!R120*DTE_mission_minutes!R42,"-")</f>
        <v>171572.29579277776</v>
      </c>
      <c r="S121" s="108">
        <f>IFERROR(lifespans_all!S120*DTE_mission_minutes!S42,"-")</f>
        <v>171572.29579277776</v>
      </c>
      <c r="T121" s="108">
        <f>IFERROR(lifespans_all!T120*DTE_mission_minutes!T42,"-")</f>
        <v>171572.29579277776</v>
      </c>
      <c r="U121" s="108">
        <f>IFERROR(lifespans_all!U120*DTE_mission_minutes!U42,"-")</f>
        <v>171572.29579277776</v>
      </c>
      <c r="V121" s="108">
        <f>IFERROR(lifespans_all!V120*DTE_mission_minutes!V42,"-")</f>
        <v>171572.29579277776</v>
      </c>
    </row>
    <row r="122" spans="1:22" x14ac:dyDescent="0.25">
      <c r="A122" s="32" t="s">
        <v>64</v>
      </c>
      <c r="B122" s="33" t="s">
        <v>46</v>
      </c>
      <c r="C122" s="108" t="str">
        <f>IFERROR(lifespans_all!C121*DTE_mission_minutes!C43,"-")</f>
        <v>-</v>
      </c>
      <c r="D122" s="108" t="str">
        <f>IFERROR(lifespans_all!D121*DTE_mission_minutes!D43,"-")</f>
        <v>-</v>
      </c>
      <c r="E122" s="108" t="str">
        <f>IFERROR(lifespans_all!E121*DTE_mission_minutes!E43,"-")</f>
        <v>-</v>
      </c>
      <c r="F122" s="108" t="str">
        <f>IFERROR(lifespans_all!F121*DTE_mission_minutes!F43,"-")</f>
        <v>-</v>
      </c>
      <c r="G122" s="108" t="str">
        <f>IFERROR(lifespans_all!G121*DTE_mission_minutes!G43,"-")</f>
        <v>-</v>
      </c>
      <c r="H122" s="108" t="str">
        <f>IFERROR(lifespans_all!H121*DTE_mission_minutes!H43,"-")</f>
        <v>-</v>
      </c>
      <c r="I122" s="108" t="str">
        <f>IFERROR(lifespans_all!I121*DTE_mission_minutes!I43,"-")</f>
        <v>-</v>
      </c>
      <c r="J122" s="108" t="str">
        <f>IFERROR(lifespans_all!J121*DTE_mission_minutes!J43,"-")</f>
        <v>-</v>
      </c>
      <c r="K122" s="108" t="str">
        <f>IFERROR(lifespans_all!K121*DTE_mission_minutes!K43,"-")</f>
        <v>-</v>
      </c>
      <c r="L122" s="108" t="str">
        <f>IFERROR(lifespans_all!L121*DTE_mission_minutes!L43,"-")</f>
        <v>-</v>
      </c>
      <c r="M122" s="108" t="str">
        <f>IFERROR(lifespans_all!M121*DTE_mission_minutes!M43,"-")</f>
        <v>-</v>
      </c>
      <c r="N122" s="108" t="str">
        <f>IFERROR(lifespans_all!N121*DTE_mission_minutes!N43,"-")</f>
        <v>-</v>
      </c>
      <c r="O122" s="108" t="str">
        <f>IFERROR(lifespans_all!O121*DTE_mission_minutes!O43,"-")</f>
        <v>-</v>
      </c>
      <c r="P122" s="108" t="str">
        <f>IFERROR(lifespans_all!P121*DTE_mission_minutes!P43,"-")</f>
        <v>-</v>
      </c>
      <c r="Q122" s="108" t="str">
        <f>IFERROR(lifespans_all!Q121*DTE_mission_minutes!Q43,"-")</f>
        <v>-</v>
      </c>
      <c r="R122" s="108" t="str">
        <f>IFERROR(lifespans_all!R121*DTE_mission_minutes!R43,"-")</f>
        <v>-</v>
      </c>
      <c r="S122" s="108" t="str">
        <f>IFERROR(lifespans_all!S121*DTE_mission_minutes!S43,"-")</f>
        <v>-</v>
      </c>
      <c r="T122" s="108" t="str">
        <f>IFERROR(lifespans_all!T121*DTE_mission_minutes!T43,"-")</f>
        <v>-</v>
      </c>
      <c r="U122" s="108" t="str">
        <f>IFERROR(lifespans_all!U121*DTE_mission_minutes!U43,"-")</f>
        <v>-</v>
      </c>
      <c r="V122" s="108" t="str">
        <f>IFERROR(lifespans_all!V121*DTE_mission_minutes!V43,"-")</f>
        <v>-</v>
      </c>
    </row>
    <row r="123" spans="1:22" x14ac:dyDescent="0.25">
      <c r="A123" s="32" t="s">
        <v>65</v>
      </c>
      <c r="B123" s="33" t="s">
        <v>41</v>
      </c>
      <c r="C123" s="108">
        <f>IFERROR(lifespans_all!C122*DTE_mission_minutes!C44,"-")</f>
        <v>3017.8666666666668</v>
      </c>
      <c r="D123" s="108">
        <f>IFERROR(lifespans_all!D122*DTE_mission_minutes!D44,"-")</f>
        <v>3078.4611111111108</v>
      </c>
      <c r="E123" s="108">
        <f>IFERROR(lifespans_all!E122*DTE_mission_minutes!E44,"-")</f>
        <v>2765.7895222222219</v>
      </c>
      <c r="F123" s="108">
        <f>IFERROR(lifespans_all!F122*DTE_mission_minutes!F44,"-")</f>
        <v>3000.2460561111111</v>
      </c>
      <c r="G123" s="108">
        <f>IFERROR(lifespans_all!G122*DTE_mission_minutes!G44,"-")</f>
        <v>3000.2460561111111</v>
      </c>
      <c r="H123" s="108">
        <f>IFERROR(lifespans_all!H122*DTE_mission_minutes!H44,"-")</f>
        <v>3000.2460561111111</v>
      </c>
      <c r="I123" s="108">
        <f>IFERROR(lifespans_all!I122*DTE_mission_minutes!I44,"-")</f>
        <v>3000.2460561111111</v>
      </c>
      <c r="J123" s="108">
        <f>IFERROR(lifespans_all!J122*DTE_mission_minutes!J44,"-")</f>
        <v>0</v>
      </c>
      <c r="K123" s="108">
        <f>IFERROR(lifespans_all!K122*DTE_mission_minutes!K44,"-")</f>
        <v>0</v>
      </c>
      <c r="L123" s="108">
        <f>IFERROR(lifespans_all!L122*DTE_mission_minutes!L44,"-")</f>
        <v>0</v>
      </c>
      <c r="M123" s="108">
        <f>IFERROR(lifespans_all!M122*DTE_mission_minutes!M44,"-")</f>
        <v>0</v>
      </c>
      <c r="N123" s="108">
        <f>IFERROR(lifespans_all!N122*DTE_mission_minutes!N44,"-")</f>
        <v>0</v>
      </c>
      <c r="O123" s="108">
        <f>IFERROR(lifespans_all!O122*DTE_mission_minutes!O44,"-")</f>
        <v>0</v>
      </c>
      <c r="P123" s="108">
        <f>IFERROR(lifespans_all!P122*DTE_mission_minutes!P44,"-")</f>
        <v>0</v>
      </c>
      <c r="Q123" s="108">
        <f>IFERROR(lifespans_all!Q122*DTE_mission_minutes!Q44,"-")</f>
        <v>0</v>
      </c>
      <c r="R123" s="108">
        <f>IFERROR(lifespans_all!R122*DTE_mission_minutes!R44,"-")</f>
        <v>0</v>
      </c>
      <c r="S123" s="108">
        <f>IFERROR(lifespans_all!S122*DTE_mission_minutes!S44,"-")</f>
        <v>0</v>
      </c>
      <c r="T123" s="108">
        <f>IFERROR(lifespans_all!T122*DTE_mission_minutes!T44,"-")</f>
        <v>0</v>
      </c>
      <c r="U123" s="108">
        <f>IFERROR(lifespans_all!U122*DTE_mission_minutes!U44,"-")</f>
        <v>0</v>
      </c>
      <c r="V123" s="108">
        <f>IFERROR(lifespans_all!V122*DTE_mission_minutes!V44,"-")</f>
        <v>0</v>
      </c>
    </row>
    <row r="124" spans="1:22" x14ac:dyDescent="0.25">
      <c r="A124" s="32" t="s">
        <v>35</v>
      </c>
      <c r="B124" s="33" t="s">
        <v>40</v>
      </c>
      <c r="C124" s="108">
        <f>IFERROR(lifespans_all!C123*DTE_mission_minutes!C45,"-")</f>
        <v>2140.4341038095235</v>
      </c>
      <c r="D124" s="108">
        <f>IFERROR(lifespans_all!D123*DTE_mission_minutes!D45,"-")</f>
        <v>2140.4341038095235</v>
      </c>
      <c r="E124" s="108">
        <f>IFERROR(lifespans_all!E123*DTE_mission_minutes!E45,"-")</f>
        <v>0</v>
      </c>
      <c r="F124" s="108">
        <f>IFERROR(lifespans_all!F123*DTE_mission_minutes!F45,"-")</f>
        <v>0</v>
      </c>
      <c r="G124" s="108">
        <f>IFERROR(lifespans_all!G123*DTE_mission_minutes!G45,"-")</f>
        <v>0</v>
      </c>
      <c r="H124" s="108">
        <f>IFERROR(lifespans_all!H123*DTE_mission_minutes!H45,"-")</f>
        <v>0</v>
      </c>
      <c r="I124" s="108">
        <f>IFERROR(lifespans_all!I123*DTE_mission_minutes!I45,"-")</f>
        <v>0</v>
      </c>
      <c r="J124" s="108">
        <f>IFERROR(lifespans_all!J123*DTE_mission_minutes!J45,"-")</f>
        <v>0</v>
      </c>
      <c r="K124" s="108">
        <f>IFERROR(lifespans_all!K123*DTE_mission_minutes!K45,"-")</f>
        <v>0</v>
      </c>
      <c r="L124" s="108">
        <f>IFERROR(lifespans_all!L123*DTE_mission_minutes!L45,"-")</f>
        <v>0</v>
      </c>
      <c r="M124" s="108">
        <f>IFERROR(lifespans_all!M123*DTE_mission_minutes!M45,"-")</f>
        <v>0</v>
      </c>
      <c r="N124" s="108">
        <f>IFERROR(lifespans_all!N123*DTE_mission_minutes!N45,"-")</f>
        <v>0</v>
      </c>
      <c r="O124" s="108">
        <f>IFERROR(lifespans_all!O123*DTE_mission_minutes!O45,"-")</f>
        <v>0</v>
      </c>
      <c r="P124" s="108">
        <f>IFERROR(lifespans_all!P123*DTE_mission_minutes!P45,"-")</f>
        <v>0</v>
      </c>
      <c r="Q124" s="108">
        <f>IFERROR(lifespans_all!Q123*DTE_mission_minutes!Q45,"-")</f>
        <v>0</v>
      </c>
      <c r="R124" s="108">
        <f>IFERROR(lifespans_all!R123*DTE_mission_minutes!R45,"-")</f>
        <v>0</v>
      </c>
      <c r="S124" s="108">
        <f>IFERROR(lifespans_all!S123*DTE_mission_minutes!S45,"-")</f>
        <v>0</v>
      </c>
      <c r="T124" s="108">
        <f>IFERROR(lifespans_all!T123*DTE_mission_minutes!T45,"-")</f>
        <v>0</v>
      </c>
      <c r="U124" s="108">
        <f>IFERROR(lifespans_all!U123*DTE_mission_minutes!U45,"-")</f>
        <v>0</v>
      </c>
      <c r="V124" s="108">
        <f>IFERROR(lifespans_all!V123*DTE_mission_minutes!V45,"-")</f>
        <v>0</v>
      </c>
    </row>
    <row r="125" spans="1:22" x14ac:dyDescent="0.25">
      <c r="A125" s="32" t="s">
        <v>36</v>
      </c>
      <c r="B125" s="33" t="s">
        <v>40</v>
      </c>
      <c r="C125" s="108">
        <f>IFERROR(lifespans_all!C124*DTE_mission_minutes!C46,"-")</f>
        <v>2140.4341038095235</v>
      </c>
      <c r="D125" s="108">
        <f>IFERROR(lifespans_all!D124*DTE_mission_minutes!D46,"-")</f>
        <v>2140.4341038095235</v>
      </c>
      <c r="E125" s="108">
        <f>IFERROR(lifespans_all!E124*DTE_mission_minutes!E46,"-")</f>
        <v>0</v>
      </c>
      <c r="F125" s="108">
        <f>IFERROR(lifespans_all!F124*DTE_mission_minutes!F46,"-")</f>
        <v>0</v>
      </c>
      <c r="G125" s="108">
        <f>IFERROR(lifespans_all!G124*DTE_mission_minutes!G46,"-")</f>
        <v>0</v>
      </c>
      <c r="H125" s="108">
        <f>IFERROR(lifespans_all!H124*DTE_mission_minutes!H46,"-")</f>
        <v>0</v>
      </c>
      <c r="I125" s="108">
        <f>IFERROR(lifespans_all!I124*DTE_mission_minutes!I46,"-")</f>
        <v>0</v>
      </c>
      <c r="J125" s="108">
        <f>IFERROR(lifespans_all!J124*DTE_mission_minutes!J46,"-")</f>
        <v>0</v>
      </c>
      <c r="K125" s="108">
        <f>IFERROR(lifespans_all!K124*DTE_mission_minutes!K46,"-")</f>
        <v>0</v>
      </c>
      <c r="L125" s="108">
        <f>IFERROR(lifespans_all!L124*DTE_mission_minutes!L46,"-")</f>
        <v>0</v>
      </c>
      <c r="M125" s="108">
        <f>IFERROR(lifespans_all!M124*DTE_mission_minutes!M46,"-")</f>
        <v>0</v>
      </c>
      <c r="N125" s="108">
        <f>IFERROR(lifespans_all!N124*DTE_mission_minutes!N46,"-")</f>
        <v>0</v>
      </c>
      <c r="O125" s="108">
        <f>IFERROR(lifespans_all!O124*DTE_mission_minutes!O46,"-")</f>
        <v>0</v>
      </c>
      <c r="P125" s="108">
        <f>IFERROR(lifespans_all!P124*DTE_mission_minutes!P46,"-")</f>
        <v>0</v>
      </c>
      <c r="Q125" s="108">
        <f>IFERROR(lifespans_all!Q124*DTE_mission_minutes!Q46,"-")</f>
        <v>0</v>
      </c>
      <c r="R125" s="108">
        <f>IFERROR(lifespans_all!R124*DTE_mission_minutes!R46,"-")</f>
        <v>0</v>
      </c>
      <c r="S125" s="108">
        <f>IFERROR(lifespans_all!S124*DTE_mission_minutes!S46,"-")</f>
        <v>0</v>
      </c>
      <c r="T125" s="108">
        <f>IFERROR(lifespans_all!T124*DTE_mission_minutes!T46,"-")</f>
        <v>0</v>
      </c>
      <c r="U125" s="108">
        <f>IFERROR(lifespans_all!U124*DTE_mission_minutes!U46,"-")</f>
        <v>0</v>
      </c>
      <c r="V125" s="108">
        <f>IFERROR(lifespans_all!V124*DTE_mission_minutes!V46,"-")</f>
        <v>0</v>
      </c>
    </row>
    <row r="126" spans="1:22" x14ac:dyDescent="0.25">
      <c r="A126" s="32" t="s">
        <v>37</v>
      </c>
      <c r="B126" s="33" t="s">
        <v>40</v>
      </c>
      <c r="C126" s="108">
        <f>IFERROR(lifespans_all!C125*DTE_mission_minutes!C47,"-")</f>
        <v>2140.4341038095235</v>
      </c>
      <c r="D126" s="108">
        <f>IFERROR(lifespans_all!D125*DTE_mission_minutes!D47,"-")</f>
        <v>2140.4341038095235</v>
      </c>
      <c r="E126" s="108">
        <f>IFERROR(lifespans_all!E125*DTE_mission_minutes!E47,"-")</f>
        <v>0</v>
      </c>
      <c r="F126" s="108">
        <f>IFERROR(lifespans_all!F125*DTE_mission_minutes!F47,"-")</f>
        <v>0</v>
      </c>
      <c r="G126" s="108">
        <f>IFERROR(lifespans_all!G125*DTE_mission_minutes!G47,"-")</f>
        <v>0</v>
      </c>
      <c r="H126" s="108">
        <f>IFERROR(lifespans_all!H125*DTE_mission_minutes!H47,"-")</f>
        <v>0</v>
      </c>
      <c r="I126" s="108">
        <f>IFERROR(lifespans_all!I125*DTE_mission_minutes!I47,"-")</f>
        <v>0</v>
      </c>
      <c r="J126" s="108">
        <f>IFERROR(lifespans_all!J125*DTE_mission_minutes!J47,"-")</f>
        <v>0</v>
      </c>
      <c r="K126" s="108">
        <f>IFERROR(lifespans_all!K125*DTE_mission_minutes!K47,"-")</f>
        <v>0</v>
      </c>
      <c r="L126" s="108">
        <f>IFERROR(lifespans_all!L125*DTE_mission_minutes!L47,"-")</f>
        <v>0</v>
      </c>
      <c r="M126" s="108">
        <f>IFERROR(lifespans_all!M125*DTE_mission_minutes!M47,"-")</f>
        <v>0</v>
      </c>
      <c r="N126" s="108">
        <f>IFERROR(lifespans_all!N125*DTE_mission_minutes!N47,"-")</f>
        <v>0</v>
      </c>
      <c r="O126" s="108">
        <f>IFERROR(lifespans_all!O125*DTE_mission_minutes!O47,"-")</f>
        <v>0</v>
      </c>
      <c r="P126" s="108">
        <f>IFERROR(lifespans_all!P125*DTE_mission_minutes!P47,"-")</f>
        <v>0</v>
      </c>
      <c r="Q126" s="108">
        <f>IFERROR(lifespans_all!Q125*DTE_mission_minutes!Q47,"-")</f>
        <v>0</v>
      </c>
      <c r="R126" s="108">
        <f>IFERROR(lifespans_all!R125*DTE_mission_minutes!R47,"-")</f>
        <v>0</v>
      </c>
      <c r="S126" s="108">
        <f>IFERROR(lifespans_all!S125*DTE_mission_minutes!S47,"-")</f>
        <v>0</v>
      </c>
      <c r="T126" s="108">
        <f>IFERROR(lifespans_all!T125*DTE_mission_minutes!T47,"-")</f>
        <v>0</v>
      </c>
      <c r="U126" s="108">
        <f>IFERROR(lifespans_all!U125*DTE_mission_minutes!U47,"-")</f>
        <v>0</v>
      </c>
      <c r="V126" s="108">
        <f>IFERROR(lifespans_all!V125*DTE_mission_minutes!V47,"-")</f>
        <v>0</v>
      </c>
    </row>
    <row r="127" spans="1:22" x14ac:dyDescent="0.25">
      <c r="A127" s="32" t="s">
        <v>38</v>
      </c>
      <c r="B127" s="33" t="s">
        <v>41</v>
      </c>
      <c r="C127" s="108">
        <f>IFERROR(lifespans_all!C126*DTE_mission_minutes!C48,"-")</f>
        <v>133409.35004928565</v>
      </c>
      <c r="D127" s="108">
        <f>IFERROR(lifespans_all!D126*DTE_mission_minutes!D48,"-")</f>
        <v>0</v>
      </c>
      <c r="E127" s="108">
        <f>IFERROR(lifespans_all!E126*DTE_mission_minutes!E48,"-")</f>
        <v>0</v>
      </c>
      <c r="F127" s="108">
        <f>IFERROR(lifespans_all!F126*DTE_mission_minutes!F48,"-")</f>
        <v>0</v>
      </c>
      <c r="G127" s="108">
        <f>IFERROR(lifespans_all!G126*DTE_mission_minutes!G48,"-")</f>
        <v>0</v>
      </c>
      <c r="H127" s="108">
        <f>IFERROR(lifespans_all!H126*DTE_mission_minutes!H48,"-")</f>
        <v>0</v>
      </c>
      <c r="I127" s="108">
        <f>IFERROR(lifespans_all!I126*DTE_mission_minutes!I48,"-")</f>
        <v>0</v>
      </c>
      <c r="J127" s="108">
        <f>IFERROR(lifespans_all!J126*DTE_mission_minutes!J48,"-")</f>
        <v>0</v>
      </c>
      <c r="K127" s="108">
        <f>IFERROR(lifespans_all!K126*DTE_mission_minutes!K48,"-")</f>
        <v>0</v>
      </c>
      <c r="L127" s="108">
        <f>IFERROR(lifespans_all!L126*DTE_mission_minutes!L48,"-")</f>
        <v>0</v>
      </c>
      <c r="M127" s="108">
        <f>IFERROR(lifespans_all!M126*DTE_mission_minutes!M48,"-")</f>
        <v>0</v>
      </c>
      <c r="N127" s="108">
        <f>IFERROR(lifespans_all!N126*DTE_mission_minutes!N48,"-")</f>
        <v>0</v>
      </c>
      <c r="O127" s="108">
        <f>IFERROR(lifespans_all!O126*DTE_mission_minutes!O48,"-")</f>
        <v>0</v>
      </c>
      <c r="P127" s="108">
        <f>IFERROR(lifespans_all!P126*DTE_mission_minutes!P48,"-")</f>
        <v>0</v>
      </c>
      <c r="Q127" s="108">
        <f>IFERROR(lifespans_all!Q126*DTE_mission_minutes!Q48,"-")</f>
        <v>0</v>
      </c>
      <c r="R127" s="108">
        <f>IFERROR(lifespans_all!R126*DTE_mission_minutes!R48,"-")</f>
        <v>0</v>
      </c>
      <c r="S127" s="108">
        <f>IFERROR(lifespans_all!S126*DTE_mission_minutes!S48,"-")</f>
        <v>0</v>
      </c>
      <c r="T127" s="108">
        <f>IFERROR(lifespans_all!T126*DTE_mission_minutes!T48,"-")</f>
        <v>0</v>
      </c>
      <c r="U127" s="108">
        <f>IFERROR(lifespans_all!U126*DTE_mission_minutes!U48,"-")</f>
        <v>0</v>
      </c>
      <c r="V127" s="108">
        <f>IFERROR(lifespans_all!V126*DTE_mission_minutes!V48,"-")</f>
        <v>0</v>
      </c>
    </row>
    <row r="128" spans="1:22" x14ac:dyDescent="0.25">
      <c r="A128" s="24" t="str">
        <f t="shared" ref="A128:B135" si="14">A49</f>
        <v>New</v>
      </c>
      <c r="B128" s="24" t="str">
        <f t="shared" si="14"/>
        <v>Human Space Flight</v>
      </c>
      <c r="C128" s="108">
        <f>IFERROR((lifespans_all!C127*DTE_mission_minutes!C49)*POWER(1+(Historical_Cost!$C$88/100),C$1-2021),"-")</f>
        <v>-85786.14789638888</v>
      </c>
      <c r="D128" s="108">
        <f>IFERROR((lifespans_all!D127*DTE_mission_minutes!D49)*POWER(1+(Historical_Cost!$C$88/100),D$1-2021),"-")</f>
        <v>-175003.74170863332</v>
      </c>
      <c r="E128" s="108">
        <f>IFERROR((lifespans_all!E127*DTE_mission_minutes!E49)*POWER(1+(Historical_Cost!$C$88/100),E$1-2021),"-")</f>
        <v>-267755.72481420898</v>
      </c>
      <c r="F128" s="108">
        <f>IFERROR((lifespans_all!F127*DTE_mission_minutes!F49)*POWER(1+(Historical_Cost!$C$88/100),F$1-2021),"-")</f>
        <v>-364147.78574732417</v>
      </c>
      <c r="G128" s="108">
        <f>IFERROR((lifespans_all!G127*DTE_mission_minutes!G49)*POWER(1+(Historical_Cost!$C$88/100),G$1-2021),"-")</f>
        <v>-464288.42682783835</v>
      </c>
      <c r="H128" s="108">
        <f>IFERROR((lifespans_all!H127*DTE_mission_minutes!H49)*POWER(1+(Historical_Cost!$C$88/100),H$1-2021),"-")</f>
        <v>-568289.03443727409</v>
      </c>
      <c r="I128" s="108">
        <f>IFERROR((lifespans_all!I127*DTE_mission_minutes!I49)*POWER(1+(Historical_Cost!$C$88/100),I$1-2021),"-")</f>
        <v>-676263.95098035631</v>
      </c>
      <c r="J128" s="108">
        <f>IFERROR((lifespans_all!J127*DTE_mission_minutes!J49)*POWER(1+(Historical_Cost!$C$88/100),J$1-2021),"-")</f>
        <v>-788330.54857138661</v>
      </c>
      <c r="K128" s="108">
        <f>IFERROR((lifespans_all!K127*DTE_mission_minutes!K49)*POWER(1+(Historical_Cost!$C$88/100),K$1-2021),"-")</f>
        <v>-904609.30448566622</v>
      </c>
      <c r="L128" s="108">
        <f>IFERROR((lifespans_all!L127*DTE_mission_minutes!L49)*POWER(1+(Historical_Cost!$C$88/100),L$1-2021),"-")</f>
        <v>-1025223.8784170884</v>
      </c>
      <c r="M128" s="108">
        <f>IFERROR((lifespans_all!M127*DTE_mission_minutes!M49)*POWER(1+(Historical_Cost!$C$88/100),M$1-2021),"-")</f>
        <v>-627437.01359125809</v>
      </c>
      <c r="N128" s="108">
        <f>IFERROR((lifespans_all!N127*DTE_mission_minutes!N49)*POWER(1+(Historical_Cost!$C$88/100),N$1-2021),"-")</f>
        <v>-639985.75386308308</v>
      </c>
      <c r="O128" s="108">
        <f>IFERROR((lifespans_all!O127*DTE_mission_minutes!O49)*POWER(1+(Historical_Cost!$C$88/100),O$1-2021),"-")</f>
        <v>-652785.46894034487</v>
      </c>
      <c r="P128" s="108">
        <f>IFERROR((lifespans_all!P127*DTE_mission_minutes!P49)*POWER(1+(Historical_Cost!$C$88/100),P$1-2021),"-")</f>
        <v>-665841.17831915175</v>
      </c>
      <c r="Q128" s="108">
        <f>IFERROR((lifespans_all!Q127*DTE_mission_minutes!Q49)*POWER(1+(Historical_Cost!$C$88/100),Q$1-2021),"-")</f>
        <v>-679158.00188553485</v>
      </c>
      <c r="R128" s="108">
        <f>IFERROR((lifespans_all!R127*DTE_mission_minutes!R49)*POWER(1+(Historical_Cost!$C$88/100),R$1-2021),"-")</f>
        <v>-692741.16192324529</v>
      </c>
      <c r="S128" s="108">
        <f>IFERROR((lifespans_all!S127*DTE_mission_minutes!S49)*POWER(1+(Historical_Cost!$C$88/100),S$1-2021),"-")</f>
        <v>-706595.98516171041</v>
      </c>
      <c r="T128" s="108">
        <f>IFERROR((lifespans_all!T127*DTE_mission_minutes!T49)*POWER(1+(Historical_Cost!$C$88/100),T$1-2021),"-")</f>
        <v>-720727.90486494463</v>
      </c>
      <c r="U128" s="108">
        <f>IFERROR((lifespans_all!U127*DTE_mission_minutes!U49)*POWER(1+(Historical_Cost!$C$88/100),U$1-2021),"-")</f>
        <v>-735142.46296224347</v>
      </c>
      <c r="V128" s="108">
        <f>IFERROR((lifespans_all!V127*DTE_mission_minutes!V49)*POWER(1+(Historical_Cost!$C$88/100),V$1-2021),"-")</f>
        <v>-749845.31222148833</v>
      </c>
    </row>
    <row r="129" spans="1:22" x14ac:dyDescent="0.25">
      <c r="A129" s="24" t="str">
        <f t="shared" si="14"/>
        <v>New</v>
      </c>
      <c r="B129" s="24" t="str">
        <f t="shared" si="14"/>
        <v>Near Earth Robotic - LEO Science</v>
      </c>
      <c r="C129" s="108">
        <f>IFERROR((lifespans_all!C128*DTE_mission_minutes!C50)*POWER(1+(Historical_Cost!$C$88/100),C$1-2021),"-")</f>
        <v>-2645.6977183333338</v>
      </c>
      <c r="D129" s="108">
        <f>IFERROR((lifespans_all!D128*DTE_mission_minutes!D50)*POWER(1+(Historical_Cost!$C$88/100),D$1-2021),"-")</f>
        <v>46140.2633307</v>
      </c>
      <c r="E129" s="108">
        <f>IFERROR((lifespans_all!E128*DTE_mission_minutes!E50)*POWER(1+(Historical_Cost!$C$88/100),E$1-2021),"-")</f>
        <v>61148.250169235987</v>
      </c>
      <c r="F129" s="108">
        <f>IFERROR((lifespans_all!F128*DTE_mission_minutes!F50)*POWER(1+(Historical_Cost!$C$88/100),F$1-2021),"-")</f>
        <v>130050.04712770628</v>
      </c>
      <c r="G129" s="108">
        <f>IFERROR((lifespans_all!G128*DTE_mission_minutes!G50)*POWER(1+(Historical_Cost!$C$88/100),G$1-2021),"-")</f>
        <v>216278.88272325066</v>
      </c>
      <c r="H129" s="108">
        <f>IFERROR((lifespans_all!H128*DTE_mission_minutes!H50)*POWER(1+(Historical_Cost!$C$88/100),H$1-2021),"-")</f>
        <v>305904.85172376578</v>
      </c>
      <c r="I129" s="108">
        <f>IFERROR((lifespans_all!I128*DTE_mission_minutes!I50)*POWER(1+(Historical_Cost!$C$88/100),I$1-2021),"-")</f>
        <v>399029.34793121216</v>
      </c>
      <c r="J129" s="108">
        <f>IFERROR((lifespans_all!J128*DTE_mission_minutes!J50)*POWER(1+(Historical_Cost!$C$88/100),J$1-2021),"-")</f>
        <v>465154.21130267007</v>
      </c>
      <c r="K129" s="108">
        <f>IFERROR((lifespans_all!K128*DTE_mission_minutes!K50)*POWER(1+(Historical_Cost!$C$88/100),K$1-2021),"-")</f>
        <v>471335.86595287663</v>
      </c>
      <c r="L129" s="108">
        <f>IFERROR((lifespans_all!L128*DTE_mission_minutes!L50)*POWER(1+(Historical_Cost!$C$88/100),L$1-2021),"-")</f>
        <v>477578.72510457039</v>
      </c>
      <c r="M129" s="108">
        <f>IFERROR((lifespans_all!M128*DTE_mission_minutes!M50)*POWER(1+(Historical_Cost!$C$88/100),M$1-2021),"-")</f>
        <v>487130.29960666178</v>
      </c>
      <c r="N129" s="108">
        <f>IFERROR((lifespans_all!N128*DTE_mission_minutes!N50)*POWER(1+(Historical_Cost!$C$88/100),N$1-2021),"-")</f>
        <v>496872.90559879493</v>
      </c>
      <c r="O129" s="108">
        <f>IFERROR((lifespans_all!O128*DTE_mission_minutes!O50)*POWER(1+(Historical_Cost!$C$88/100),O$1-2021),"-")</f>
        <v>506810.36371077091</v>
      </c>
      <c r="P129" s="108">
        <f>IFERROR((lifespans_all!P128*DTE_mission_minutes!P50)*POWER(1+(Historical_Cost!$C$88/100),P$1-2021),"-")</f>
        <v>516946.57098498632</v>
      </c>
      <c r="Q129" s="108">
        <f>IFERROR((lifespans_all!Q128*DTE_mission_minutes!Q50)*POWER(1+(Historical_Cost!$C$88/100),Q$1-2021),"-")</f>
        <v>527285.50240468606</v>
      </c>
      <c r="R129" s="108">
        <f>IFERROR((lifespans_all!R128*DTE_mission_minutes!R50)*POWER(1+(Historical_Cost!$C$88/100),R$1-2021),"-")</f>
        <v>537831.21245277964</v>
      </c>
      <c r="S129" s="108">
        <f>IFERROR((lifespans_all!S128*DTE_mission_minutes!S50)*POWER(1+(Historical_Cost!$C$88/100),S$1-2021),"-")</f>
        <v>548587.83670183539</v>
      </c>
      <c r="T129" s="108">
        <f>IFERROR((lifespans_all!T128*DTE_mission_minutes!T50)*POWER(1+(Historical_Cost!$C$88/100),T$1-2021),"-")</f>
        <v>559559.59343587211</v>
      </c>
      <c r="U129" s="108">
        <f>IFERROR((lifespans_all!U128*DTE_mission_minutes!U50)*POWER(1+(Historical_Cost!$C$88/100),U$1-2021),"-")</f>
        <v>570750.78530458955</v>
      </c>
      <c r="V129" s="108">
        <f>IFERROR((lifespans_all!V128*DTE_mission_minutes!V50)*POWER(1+(Historical_Cost!$C$88/100),V$1-2021),"-")</f>
        <v>582165.80101068132</v>
      </c>
    </row>
    <row r="130" spans="1:22" x14ac:dyDescent="0.25">
      <c r="A130" s="24" t="str">
        <f t="shared" si="14"/>
        <v>New</v>
      </c>
      <c r="B130" s="24" t="str">
        <f t="shared" si="14"/>
        <v>Near Earth Robotic - GEO and Near Earth</v>
      </c>
      <c r="C130" s="108">
        <f>IFERROR((lifespans_all!C129*DTE_mission_minutes!C51)*POWER(1+(Historical_Cost!$C$88/100),C$1-2021),"-")</f>
        <v>-214.04341038095237</v>
      </c>
      <c r="D130" s="108">
        <f>IFERROR((lifespans_all!D129*DTE_mission_minutes!D51)*POWER(1+(Historical_Cost!$C$88/100),D$1-2021),"-")</f>
        <v>-436.64855717714283</v>
      </c>
      <c r="E130" s="108">
        <f>IFERROR((lifespans_all!E129*DTE_mission_minutes!E51)*POWER(1+(Historical_Cost!$C$88/100),E$1-2021),"-")</f>
        <v>8239.5582739326856</v>
      </c>
      <c r="F130" s="108">
        <f>IFERROR((lifespans_all!F129*DTE_mission_minutes!F51)*POWER(1+(Historical_Cost!$C$88/100),F$1-2021),"-")</f>
        <v>8177.2048599677883</v>
      </c>
      <c r="G130" s="108">
        <f>IFERROR((lifespans_all!G129*DTE_mission_minutes!G51)*POWER(1+(Historical_Cost!$C$88/100),G$1-2021),"-")</f>
        <v>8109.061486134724</v>
      </c>
      <c r="H130" s="108">
        <f>IFERROR((lifespans_all!H129*DTE_mission_minutes!H51)*POWER(1+(Historical_Cost!$C$88/100),H$1-2021),"-")</f>
        <v>8034.9214954043491</v>
      </c>
      <c r="I130" s="108">
        <f>IFERROR((lifespans_all!I129*DTE_mission_minutes!I51)*POWER(1+(Historical_Cost!$C$88/100),I$1-2021),"-")</f>
        <v>7954.5722804503057</v>
      </c>
      <c r="J130" s="108">
        <f>IFERROR((lifespans_all!J129*DTE_mission_minutes!J51)*POWER(1+(Historical_Cost!$C$88/100),J$1-2021),"-")</f>
        <v>7867.7951282999375</v>
      </c>
      <c r="K130" s="108">
        <f>IFERROR((lifespans_all!K129*DTE_mission_minutes!K51)*POWER(1+(Historical_Cost!$C$88/100),K$1-2021),"-")</f>
        <v>7774.3650611513776</v>
      </c>
      <c r="L130" s="108">
        <f>IFERROR((lifespans_all!L129*DTE_mission_minutes!L51)*POWER(1+(Historical_Cost!$C$88/100),L$1-2021),"-")</f>
        <v>7674.0506732655522</v>
      </c>
      <c r="M130" s="108">
        <f>IFERROR((lifespans_all!M129*DTE_mission_minutes!M51)*POWER(1+(Historical_Cost!$C$88/100),M$1-2021),"-")</f>
        <v>7827.5316867308638</v>
      </c>
      <c r="N130" s="108">
        <f>IFERROR((lifespans_all!N129*DTE_mission_minutes!N51)*POWER(1+(Historical_Cost!$C$88/100),N$1-2021),"-")</f>
        <v>7984.0823204654798</v>
      </c>
      <c r="O130" s="108">
        <f>IFERROR((lifespans_all!O129*DTE_mission_minutes!O51)*POWER(1+(Historical_Cost!$C$88/100),O$1-2021),"-")</f>
        <v>8143.7639668747906</v>
      </c>
      <c r="P130" s="108">
        <f>IFERROR((lifespans_all!P129*DTE_mission_minutes!P51)*POWER(1+(Historical_Cost!$C$88/100),P$1-2021),"-")</f>
        <v>8306.6392462122858</v>
      </c>
      <c r="Q130" s="108">
        <f>IFERROR((lifespans_all!Q129*DTE_mission_minutes!Q51)*POWER(1+(Historical_Cost!$C$88/100),Q$1-2021),"-")</f>
        <v>8472.772031136532</v>
      </c>
      <c r="R130" s="108">
        <f>IFERROR((lifespans_all!R129*DTE_mission_minutes!R51)*POWER(1+(Historical_Cost!$C$88/100),R$1-2021),"-")</f>
        <v>8642.2274717592609</v>
      </c>
      <c r="S130" s="108">
        <f>IFERROR((lifespans_all!S129*DTE_mission_minutes!S51)*POWER(1+(Historical_Cost!$C$88/100),S$1-2021),"-")</f>
        <v>8815.0720211944481</v>
      </c>
      <c r="T130" s="108">
        <f>IFERROR((lifespans_all!T129*DTE_mission_minutes!T51)*POWER(1+(Historical_Cost!$C$88/100),T$1-2021),"-")</f>
        <v>8991.3734616183374</v>
      </c>
      <c r="U130" s="108">
        <f>IFERROR((lifespans_all!U129*DTE_mission_minutes!U51)*POWER(1+(Historical_Cost!$C$88/100),U$1-2021),"-")</f>
        <v>9171.2009308507022</v>
      </c>
      <c r="V130" s="108">
        <f>IFERROR((lifespans_all!V129*DTE_mission_minutes!V51)*POWER(1+(Historical_Cost!$C$88/100),V$1-2021),"-")</f>
        <v>9354.6249494677159</v>
      </c>
    </row>
    <row r="131" spans="1:22" x14ac:dyDescent="0.25">
      <c r="A131" s="24" t="str">
        <f t="shared" si="14"/>
        <v>New</v>
      </c>
      <c r="B131" s="24" t="str">
        <f t="shared" si="14"/>
        <v>Deep Space Robotic</v>
      </c>
      <c r="C131" s="108" t="str">
        <f>IFERROR((lifespans_all!C130*DTE_mission_minutes!C52)*POWER(1+(Historical_Cost!$C$88/100),C$1-2021),"-")</f>
        <v>-</v>
      </c>
      <c r="D131" s="108" t="str">
        <f>IFERROR((lifespans_all!D130*DTE_mission_minutes!D52)*POWER(1+(Historical_Cost!$C$88/100),D$1-2021),"-")</f>
        <v>-</v>
      </c>
      <c r="E131" s="108" t="str">
        <f>IFERROR((lifespans_all!E130*DTE_mission_minutes!E52)*POWER(1+(Historical_Cost!$C$88/100),E$1-2021),"-")</f>
        <v>-</v>
      </c>
      <c r="F131" s="108" t="str">
        <f>IFERROR((lifespans_all!F130*DTE_mission_minutes!F52)*POWER(1+(Historical_Cost!$C$88/100),F$1-2021),"-")</f>
        <v>-</v>
      </c>
      <c r="G131" s="108" t="str">
        <f>IFERROR((lifespans_all!G130*DTE_mission_minutes!G52)*POWER(1+(Historical_Cost!$C$88/100),G$1-2021),"-")</f>
        <v>-</v>
      </c>
      <c r="H131" s="108" t="str">
        <f>IFERROR((lifespans_all!H130*DTE_mission_minutes!H52)*POWER(1+(Historical_Cost!$C$88/100),H$1-2021),"-")</f>
        <v>-</v>
      </c>
      <c r="I131" s="108" t="str">
        <f>IFERROR((lifespans_all!I130*DTE_mission_minutes!I52)*POWER(1+(Historical_Cost!$C$88/100),I$1-2021),"-")</f>
        <v>-</v>
      </c>
      <c r="J131" s="108" t="str">
        <f>IFERROR((lifespans_all!J130*DTE_mission_minutes!J52)*POWER(1+(Historical_Cost!$C$88/100),J$1-2021),"-")</f>
        <v>-</v>
      </c>
      <c r="K131" s="108" t="str">
        <f>IFERROR((lifespans_all!K130*DTE_mission_minutes!K52)*POWER(1+(Historical_Cost!$C$88/100),K$1-2021),"-")</f>
        <v>-</v>
      </c>
      <c r="L131" s="108" t="str">
        <f>IFERROR((lifespans_all!L130*DTE_mission_minutes!L52)*POWER(1+(Historical_Cost!$C$88/100),L$1-2021),"-")</f>
        <v>-</v>
      </c>
      <c r="M131" s="108" t="str">
        <f>IFERROR((lifespans_all!M130*DTE_mission_minutes!M52)*POWER(1+(Historical_Cost!$C$88/100),M$1-2021),"-")</f>
        <v>-</v>
      </c>
      <c r="N131" s="108" t="str">
        <f>IFERROR((lifespans_all!N130*DTE_mission_minutes!N52)*POWER(1+(Historical_Cost!$C$88/100),N$1-2021),"-")</f>
        <v>-</v>
      </c>
      <c r="O131" s="108" t="str">
        <f>IFERROR((lifespans_all!O130*DTE_mission_minutes!O52)*POWER(1+(Historical_Cost!$C$88/100),O$1-2021),"-")</f>
        <v>-</v>
      </c>
      <c r="P131" s="108" t="str">
        <f>IFERROR((lifespans_all!P130*DTE_mission_minutes!P52)*POWER(1+(Historical_Cost!$C$88/100),P$1-2021),"-")</f>
        <v>-</v>
      </c>
      <c r="Q131" s="108" t="str">
        <f>IFERROR((lifespans_all!Q130*DTE_mission_minutes!Q52)*POWER(1+(Historical_Cost!$C$88/100),Q$1-2021),"-")</f>
        <v>-</v>
      </c>
      <c r="R131" s="108" t="str">
        <f>IFERROR((lifespans_all!R130*DTE_mission_minutes!R52)*POWER(1+(Historical_Cost!$C$88/100),R$1-2021),"-")</f>
        <v>-</v>
      </c>
      <c r="S131" s="108" t="str">
        <f>IFERROR((lifespans_all!S130*DTE_mission_minutes!S52)*POWER(1+(Historical_Cost!$C$88/100),S$1-2021),"-")</f>
        <v>-</v>
      </c>
      <c r="T131" s="108" t="str">
        <f>IFERROR((lifespans_all!T130*DTE_mission_minutes!T52)*POWER(1+(Historical_Cost!$C$88/100),T$1-2021),"-")</f>
        <v>-</v>
      </c>
      <c r="U131" s="108" t="str">
        <f>IFERROR((lifespans_all!U130*DTE_mission_minutes!U52)*POWER(1+(Historical_Cost!$C$88/100),U$1-2021),"-")</f>
        <v>-</v>
      </c>
      <c r="V131" s="108" t="str">
        <f>IFERROR((lifespans_all!V130*DTE_mission_minutes!V52)*POWER(1+(Historical_Cost!$C$88/100),V$1-2021),"-")</f>
        <v>-</v>
      </c>
    </row>
    <row r="132" spans="1:22" x14ac:dyDescent="0.25">
      <c r="A132" s="24" t="str">
        <f t="shared" si="14"/>
        <v>New</v>
      </c>
      <c r="B132" s="24" t="str">
        <f t="shared" si="14"/>
        <v>Near Earth Robotic - Low Latency &amp; Complex Needs</v>
      </c>
      <c r="C132" s="108">
        <f>IFERROR((lifespans_all!C131*DTE_mission_minutes!C53)*POWER(1+(Historical_Cost!$C$88/100),C$1-2021),"-")</f>
        <v>0</v>
      </c>
      <c r="D132" s="108">
        <f>IFERROR((lifespans_all!D131*DTE_mission_minutes!D53)*POWER(1+(Historical_Cost!$C$88/100),D$1-2021),"-")</f>
        <v>0</v>
      </c>
      <c r="E132" s="108">
        <f>IFERROR((lifespans_all!E131*DTE_mission_minutes!E53)*POWER(1+(Historical_Cost!$C$88/100),E$1-2021),"-")</f>
        <v>0</v>
      </c>
      <c r="F132" s="108">
        <f>IFERROR((lifespans_all!F131*DTE_mission_minutes!F53)*POWER(1+(Historical_Cost!$C$88/100),F$1-2021),"-")</f>
        <v>0</v>
      </c>
      <c r="G132" s="108">
        <f>IFERROR((lifespans_all!G131*DTE_mission_minutes!G53)*POWER(1+(Historical_Cost!$C$88/100),G$1-2021),"-")</f>
        <v>0</v>
      </c>
      <c r="H132" s="108">
        <f>IFERROR((lifespans_all!H131*DTE_mission_minutes!H53)*POWER(1+(Historical_Cost!$C$88/100),H$1-2021),"-")</f>
        <v>0</v>
      </c>
      <c r="I132" s="108">
        <f>IFERROR((lifespans_all!I131*DTE_mission_minutes!I53)*POWER(1+(Historical_Cost!$C$88/100),I$1-2021),"-")</f>
        <v>0</v>
      </c>
      <c r="J132" s="108">
        <f>IFERROR((lifespans_all!J131*DTE_mission_minutes!J53)*POWER(1+(Historical_Cost!$C$88/100),J$1-2021),"-")</f>
        <v>0</v>
      </c>
      <c r="K132" s="108">
        <f>IFERROR((lifespans_all!K131*DTE_mission_minutes!K53)*POWER(1+(Historical_Cost!$C$88/100),K$1-2021),"-")</f>
        <v>0</v>
      </c>
      <c r="L132" s="108">
        <f>IFERROR((lifespans_all!L131*DTE_mission_minutes!L53)*POWER(1+(Historical_Cost!$C$88/100),L$1-2021),"-")</f>
        <v>0</v>
      </c>
      <c r="M132" s="108">
        <f>IFERROR((lifespans_all!M131*DTE_mission_minutes!M53)*POWER(1+(Historical_Cost!$C$88/100),M$1-2021),"-")</f>
        <v>0</v>
      </c>
      <c r="N132" s="108">
        <f>IFERROR((lifespans_all!N131*DTE_mission_minutes!N53)*POWER(1+(Historical_Cost!$C$88/100),N$1-2021),"-")</f>
        <v>0</v>
      </c>
      <c r="O132" s="108">
        <f>IFERROR((lifespans_all!O131*DTE_mission_minutes!O53)*POWER(1+(Historical_Cost!$C$88/100),O$1-2021),"-")</f>
        <v>0</v>
      </c>
      <c r="P132" s="108">
        <f>IFERROR((lifespans_all!P131*DTE_mission_minutes!P53)*POWER(1+(Historical_Cost!$C$88/100),P$1-2021),"-")</f>
        <v>0</v>
      </c>
      <c r="Q132" s="108">
        <f>IFERROR((lifespans_all!Q131*DTE_mission_minutes!Q53)*POWER(1+(Historical_Cost!$C$88/100),Q$1-2021),"-")</f>
        <v>0</v>
      </c>
      <c r="R132" s="108">
        <f>IFERROR((lifespans_all!R131*DTE_mission_minutes!R53)*POWER(1+(Historical_Cost!$C$88/100),R$1-2021),"-")</f>
        <v>0</v>
      </c>
      <c r="S132" s="108">
        <f>IFERROR((lifespans_all!S131*DTE_mission_minutes!S53)*POWER(1+(Historical_Cost!$C$88/100),S$1-2021),"-")</f>
        <v>0</v>
      </c>
      <c r="T132" s="108">
        <f>IFERROR((lifespans_all!T131*DTE_mission_minutes!T53)*POWER(1+(Historical_Cost!$C$88/100),T$1-2021),"-")</f>
        <v>0</v>
      </c>
      <c r="U132" s="108">
        <f>IFERROR((lifespans_all!U131*DTE_mission_minutes!U53)*POWER(1+(Historical_Cost!$C$88/100),U$1-2021),"-")</f>
        <v>0</v>
      </c>
      <c r="V132" s="108">
        <f>IFERROR((lifespans_all!V131*DTE_mission_minutes!V53)*POWER(1+(Historical_Cost!$C$88/100),V$1-2021),"-")</f>
        <v>0</v>
      </c>
    </row>
    <row r="133" spans="1:22" x14ac:dyDescent="0.25">
      <c r="A133" s="24" t="str">
        <f t="shared" si="14"/>
        <v>New</v>
      </c>
      <c r="B133" s="24" t="str">
        <f t="shared" si="14"/>
        <v>Mission Operations</v>
      </c>
      <c r="C133" s="108" t="str">
        <f>IFERROR((lifespans_all!C132*DTE_mission_minutes!C54)*POWER(1+(Historical_Cost!$C$88/100),C$1-2021),"-")</f>
        <v>-</v>
      </c>
      <c r="D133" s="108" t="str">
        <f>IFERROR((lifespans_all!D132*DTE_mission_minutes!D54)*POWER(1+(Historical_Cost!$C$88/100),D$1-2021),"-")</f>
        <v>-</v>
      </c>
      <c r="E133" s="108" t="str">
        <f>IFERROR((lifespans_all!E132*DTE_mission_minutes!E54)*POWER(1+(Historical_Cost!$C$88/100),E$1-2021),"-")</f>
        <v>-</v>
      </c>
      <c r="F133" s="108" t="str">
        <f>IFERROR((lifespans_all!F132*DTE_mission_minutes!F54)*POWER(1+(Historical_Cost!$C$88/100),F$1-2021),"-")</f>
        <v>-</v>
      </c>
      <c r="G133" s="108" t="str">
        <f>IFERROR((lifespans_all!G132*DTE_mission_minutes!G54)*POWER(1+(Historical_Cost!$C$88/100),G$1-2021),"-")</f>
        <v>-</v>
      </c>
      <c r="H133" s="108" t="str">
        <f>IFERROR((lifespans_all!H132*DTE_mission_minutes!H54)*POWER(1+(Historical_Cost!$C$88/100),H$1-2021),"-")</f>
        <v>-</v>
      </c>
      <c r="I133" s="108" t="str">
        <f>IFERROR((lifespans_all!I132*DTE_mission_minutes!I54)*POWER(1+(Historical_Cost!$C$88/100),I$1-2021),"-")</f>
        <v>-</v>
      </c>
      <c r="J133" s="108" t="str">
        <f>IFERROR((lifespans_all!J132*DTE_mission_minutes!J54)*POWER(1+(Historical_Cost!$C$88/100),J$1-2021),"-")</f>
        <v>-</v>
      </c>
      <c r="K133" s="108" t="str">
        <f>IFERROR((lifespans_all!K132*DTE_mission_minutes!K54)*POWER(1+(Historical_Cost!$C$88/100),K$1-2021),"-")</f>
        <v>-</v>
      </c>
      <c r="L133" s="108" t="str">
        <f>IFERROR((lifespans_all!L132*DTE_mission_minutes!L54)*POWER(1+(Historical_Cost!$C$88/100),L$1-2021),"-")</f>
        <v>-</v>
      </c>
      <c r="M133" s="108" t="str">
        <f>IFERROR((lifespans_all!M132*DTE_mission_minutes!M54)*POWER(1+(Historical_Cost!$C$88/100),M$1-2021),"-")</f>
        <v>-</v>
      </c>
      <c r="N133" s="108" t="str">
        <f>IFERROR((lifespans_all!N132*DTE_mission_minutes!N54)*POWER(1+(Historical_Cost!$C$88/100),N$1-2021),"-")</f>
        <v>-</v>
      </c>
      <c r="O133" s="108" t="str">
        <f>IFERROR((lifespans_all!O132*DTE_mission_minutes!O54)*POWER(1+(Historical_Cost!$C$88/100),O$1-2021),"-")</f>
        <v>-</v>
      </c>
      <c r="P133" s="108" t="str">
        <f>IFERROR((lifespans_all!P132*DTE_mission_minutes!P54)*POWER(1+(Historical_Cost!$C$88/100),P$1-2021),"-")</f>
        <v>-</v>
      </c>
      <c r="Q133" s="108" t="str">
        <f>IFERROR((lifespans_all!Q132*DTE_mission_minutes!Q54)*POWER(1+(Historical_Cost!$C$88/100),Q$1-2021),"-")</f>
        <v>-</v>
      </c>
      <c r="R133" s="108" t="str">
        <f>IFERROR((lifespans_all!R132*DTE_mission_minutes!R54)*POWER(1+(Historical_Cost!$C$88/100),R$1-2021),"-")</f>
        <v>-</v>
      </c>
      <c r="S133" s="108" t="str">
        <f>IFERROR((lifespans_all!S132*DTE_mission_minutes!S54)*POWER(1+(Historical_Cost!$C$88/100),S$1-2021),"-")</f>
        <v>-</v>
      </c>
      <c r="T133" s="108" t="str">
        <f>IFERROR((lifespans_all!T132*DTE_mission_minutes!T54)*POWER(1+(Historical_Cost!$C$88/100),T$1-2021),"-")</f>
        <v>-</v>
      </c>
      <c r="U133" s="108" t="str">
        <f>IFERROR((lifespans_all!U132*DTE_mission_minutes!U54)*POWER(1+(Historical_Cost!$C$88/100),U$1-2021),"-")</f>
        <v>-</v>
      </c>
      <c r="V133" s="108" t="str">
        <f>IFERROR((lifespans_all!V132*DTE_mission_minutes!V54)*POWER(1+(Historical_Cost!$C$88/100),V$1-2021),"-")</f>
        <v>-</v>
      </c>
    </row>
    <row r="134" spans="1:22" x14ac:dyDescent="0.25">
      <c r="A134" s="24" t="str">
        <f t="shared" si="14"/>
        <v>New</v>
      </c>
      <c r="B134" s="24" t="str">
        <f t="shared" si="14"/>
        <v>Launch Events</v>
      </c>
      <c r="C134" s="108" t="str">
        <f>IFERROR((lifespans_all!C133*DTE_mission_minutes!C55)*POWER(1+(Historical_Cost!$C$88/100),C$1-2021),"-")</f>
        <v>-</v>
      </c>
      <c r="D134" s="108" t="str">
        <f>IFERROR((lifespans_all!D133*DTE_mission_minutes!D55)*POWER(1+(Historical_Cost!$C$88/100),D$1-2021),"-")</f>
        <v>-</v>
      </c>
      <c r="E134" s="108" t="str">
        <f>IFERROR((lifespans_all!E133*DTE_mission_minutes!E55)*POWER(1+(Historical_Cost!$C$88/100),E$1-2021),"-")</f>
        <v>-</v>
      </c>
      <c r="F134" s="108" t="str">
        <f>IFERROR((lifespans_all!F133*DTE_mission_minutes!F55)*POWER(1+(Historical_Cost!$C$88/100),F$1-2021),"-")</f>
        <v>-</v>
      </c>
      <c r="G134" s="108" t="str">
        <f>IFERROR((lifespans_all!G133*DTE_mission_minutes!G55)*POWER(1+(Historical_Cost!$C$88/100),G$1-2021),"-")</f>
        <v>-</v>
      </c>
      <c r="H134" s="108" t="str">
        <f>IFERROR((lifespans_all!H133*DTE_mission_minutes!H55)*POWER(1+(Historical_Cost!$C$88/100),H$1-2021),"-")</f>
        <v>-</v>
      </c>
      <c r="I134" s="108" t="str">
        <f>IFERROR((lifespans_all!I133*DTE_mission_minutes!I55)*POWER(1+(Historical_Cost!$C$88/100),I$1-2021),"-")</f>
        <v>-</v>
      </c>
      <c r="J134" s="108" t="str">
        <f>IFERROR((lifespans_all!J133*DTE_mission_minutes!J55)*POWER(1+(Historical_Cost!$C$88/100),J$1-2021),"-")</f>
        <v>-</v>
      </c>
      <c r="K134" s="108" t="str">
        <f>IFERROR((lifespans_all!K133*DTE_mission_minutes!K55)*POWER(1+(Historical_Cost!$C$88/100),K$1-2021),"-")</f>
        <v>-</v>
      </c>
      <c r="L134" s="108" t="str">
        <f>IFERROR((lifespans_all!L133*DTE_mission_minutes!L55)*POWER(1+(Historical_Cost!$C$88/100),L$1-2021),"-")</f>
        <v>-</v>
      </c>
      <c r="M134" s="108" t="str">
        <f>IFERROR((lifespans_all!M133*DTE_mission_minutes!M55)*POWER(1+(Historical_Cost!$C$88/100),M$1-2021),"-")</f>
        <v>-</v>
      </c>
      <c r="N134" s="108" t="str">
        <f>IFERROR((lifespans_all!N133*DTE_mission_minutes!N55)*POWER(1+(Historical_Cost!$C$88/100),N$1-2021),"-")</f>
        <v>-</v>
      </c>
      <c r="O134" s="108" t="str">
        <f>IFERROR((lifespans_all!O133*DTE_mission_minutes!O55)*POWER(1+(Historical_Cost!$C$88/100),O$1-2021),"-")</f>
        <v>-</v>
      </c>
      <c r="P134" s="108" t="str">
        <f>IFERROR((lifespans_all!P133*DTE_mission_minutes!P55)*POWER(1+(Historical_Cost!$C$88/100),P$1-2021),"-")</f>
        <v>-</v>
      </c>
      <c r="Q134" s="108" t="str">
        <f>IFERROR((lifespans_all!Q133*DTE_mission_minutes!Q55)*POWER(1+(Historical_Cost!$C$88/100),Q$1-2021),"-")</f>
        <v>-</v>
      </c>
      <c r="R134" s="108" t="str">
        <f>IFERROR((lifespans_all!R133*DTE_mission_minutes!R55)*POWER(1+(Historical_Cost!$C$88/100),R$1-2021),"-")</f>
        <v>-</v>
      </c>
      <c r="S134" s="108" t="str">
        <f>IFERROR((lifespans_all!S133*DTE_mission_minutes!S55)*POWER(1+(Historical_Cost!$C$88/100),S$1-2021),"-")</f>
        <v>-</v>
      </c>
      <c r="T134" s="108" t="str">
        <f>IFERROR((lifespans_all!T133*DTE_mission_minutes!T55)*POWER(1+(Historical_Cost!$C$88/100),T$1-2021),"-")</f>
        <v>-</v>
      </c>
      <c r="U134" s="108" t="str">
        <f>IFERROR((lifespans_all!U133*DTE_mission_minutes!U55)*POWER(1+(Historical_Cost!$C$88/100),U$1-2021),"-")</f>
        <v>-</v>
      </c>
      <c r="V134" s="108" t="str">
        <f>IFERROR((lifespans_all!V133*DTE_mission_minutes!V55)*POWER(1+(Historical_Cost!$C$88/100),V$1-2021),"-")</f>
        <v>-</v>
      </c>
    </row>
    <row r="135" spans="1:22" x14ac:dyDescent="0.25">
      <c r="A135" s="24" t="str">
        <f t="shared" si="14"/>
        <v>New</v>
      </c>
      <c r="B135" s="24" t="str">
        <f t="shared" si="14"/>
        <v>Terrestrial &amp; Aerial</v>
      </c>
      <c r="C135" s="108">
        <f>IFERROR((lifespans_all!C134*DTE_mission_minutes!C56)*POWER(1+(Historical_Cost!$C$88/100),C$1-2021),"-")</f>
        <v>-26836.151351000004</v>
      </c>
      <c r="D135" s="108">
        <f>IFERROR((lifespans_all!D134*DTE_mission_minutes!D56)*POWER(1+(Historical_Cost!$C$88/100),D$1-2021),"-")</f>
        <v>36497.165837360015</v>
      </c>
      <c r="E135" s="108">
        <f>IFERROR((lifespans_all!E134*DTE_mission_minutes!E56)*POWER(1+(Historical_Cost!$C$88/100),E$1-2021),"-")</f>
        <v>9306.7772885268114</v>
      </c>
      <c r="F135" s="108">
        <f>IFERROR((lifespans_all!F134*DTE_mission_minutes!F56)*POWER(1+(Historical_Cost!$C$88/100),F$1-2021),"-")</f>
        <v>-18985.825668594669</v>
      </c>
      <c r="G135" s="108">
        <f>IFERROR((lifespans_all!G134*DTE_mission_minutes!G56)*POWER(1+(Historical_Cost!$C$88/100),G$1-2021),"-")</f>
        <v>-48413.855454916426</v>
      </c>
      <c r="H135" s="108">
        <f>IFERROR((lifespans_all!H134*DTE_mission_minutes!H56)*POWER(1+(Historical_Cost!$C$88/100),H$1-2021),"-")</f>
        <v>19752.853025605895</v>
      </c>
      <c r="I135" s="108">
        <f>IFERROR((lifespans_all!I134*DTE_mission_minutes!I56)*POWER(1+(Historical_Cost!$C$88/100),I$1-2021),"-")</f>
        <v>-10073.955043059019</v>
      </c>
      <c r="J135" s="108">
        <f>IFERROR((lifespans_all!J134*DTE_mission_minutes!J56)*POWER(1+(Historical_Cost!$C$88/100),J$1-2021),"-")</f>
        <v>-41101.736575680741</v>
      </c>
      <c r="K135" s="108">
        <f>IFERROR((lifespans_all!K134*DTE_mission_minutes!K56)*POWER(1+(Historical_Cost!$C$88/100),K$1-2021),"-")</f>
        <v>-73366.599787590123</v>
      </c>
      <c r="L135" s="108">
        <f>IFERROR((lifespans_all!L134*DTE_mission_minutes!L56)*POWER(1+(Historical_Cost!$C$88/100),L$1-2021),"-")</f>
        <v>-106905.6168333456</v>
      </c>
      <c r="M135" s="108">
        <f>IFERROR((lifespans_all!M134*DTE_mission_minutes!M56)*POWER(1+(Historical_Cost!$C$88/100),M$1-2021),"-")</f>
        <v>-109043.72917001251</v>
      </c>
      <c r="N135" s="108">
        <f>IFERROR((lifespans_all!N134*DTE_mission_minutes!N56)*POWER(1+(Historical_Cost!$C$88/100),N$1-2021),"-")</f>
        <v>-111224.60375341274</v>
      </c>
      <c r="O135" s="108">
        <f>IFERROR((lifespans_all!O134*DTE_mission_minutes!O56)*POWER(1+(Historical_Cost!$C$88/100),O$1-2021),"-")</f>
        <v>-113449.09582848102</v>
      </c>
      <c r="P135" s="108">
        <f>IFERROR((lifespans_all!P134*DTE_mission_minutes!P56)*POWER(1+(Historical_Cost!$C$88/100),P$1-2021),"-")</f>
        <v>-115718.07774505063</v>
      </c>
      <c r="Q135" s="108">
        <f>IFERROR((lifespans_all!Q134*DTE_mission_minutes!Q56)*POWER(1+(Historical_Cost!$C$88/100),Q$1-2021),"-")</f>
        <v>-118032.43929995166</v>
      </c>
      <c r="R135" s="108">
        <f>IFERROR((lifespans_all!R134*DTE_mission_minutes!R56)*POWER(1+(Historical_Cost!$C$88/100),R$1-2021),"-")</f>
        <v>-120393.08808595066</v>
      </c>
      <c r="S135" s="108">
        <f>IFERROR((lifespans_all!S134*DTE_mission_minutes!S56)*POWER(1+(Historical_Cost!$C$88/100),S$1-2021),"-")</f>
        <v>-122800.94984766969</v>
      </c>
      <c r="T135" s="108">
        <f>IFERROR((lifespans_all!T134*DTE_mission_minutes!T56)*POWER(1+(Historical_Cost!$C$88/100),T$1-2021),"-")</f>
        <v>-125256.96884462309</v>
      </c>
      <c r="U135" s="108">
        <f>IFERROR((lifespans_all!U134*DTE_mission_minutes!U56)*POWER(1+(Historical_Cost!$C$88/100),U$1-2021),"-")</f>
        <v>-127762.10822151553</v>
      </c>
      <c r="V135" s="108">
        <f>IFERROR((lifespans_all!V134*DTE_mission_minutes!V56)*POWER(1+(Historical_Cost!$C$88/100),V$1-2021),"-")</f>
        <v>-130317.35038594584</v>
      </c>
    </row>
    <row r="136" spans="1:22" x14ac:dyDescent="0.25">
      <c r="C136" s="2"/>
      <c r="D136" s="2"/>
      <c r="E136" s="2"/>
      <c r="F136" s="2"/>
      <c r="G136" s="2"/>
      <c r="H136" s="2"/>
      <c r="I136" s="2"/>
      <c r="J136" s="2"/>
      <c r="K136" s="2"/>
      <c r="L136" s="2"/>
      <c r="M136" s="2"/>
      <c r="N136" s="2"/>
      <c r="O136" s="2"/>
      <c r="P136" s="2"/>
      <c r="Q136" s="2"/>
      <c r="R136" s="2"/>
      <c r="S136" s="2"/>
      <c r="T136" s="2"/>
      <c r="U136" s="2"/>
      <c r="V136" s="2"/>
    </row>
    <row r="137" spans="1:22" x14ac:dyDescent="0.25">
      <c r="C137" s="26">
        <f t="shared" ref="C137:V137" si="15">SUM(C81:C135)</f>
        <v>1637008.6739355633</v>
      </c>
      <c r="D137" s="26">
        <f t="shared" si="15"/>
        <v>1391542.9383125671</v>
      </c>
      <c r="E137" s="26">
        <f t="shared" si="15"/>
        <v>1151843.2164532007</v>
      </c>
      <c r="F137" s="26">
        <f t="shared" si="15"/>
        <v>832567.78424000915</v>
      </c>
      <c r="G137" s="26">
        <f t="shared" si="15"/>
        <v>786872.06967377337</v>
      </c>
      <c r="H137" s="26">
        <f t="shared" si="15"/>
        <v>702272.10973258107</v>
      </c>
      <c r="I137" s="26">
        <f t="shared" si="15"/>
        <v>522341.05317515176</v>
      </c>
      <c r="J137" s="26">
        <f t="shared" si="15"/>
        <v>441487.90886858513</v>
      </c>
      <c r="K137" s="26">
        <f t="shared" si="15"/>
        <v>299032.51432545413</v>
      </c>
      <c r="L137" s="26">
        <f t="shared" si="15"/>
        <v>151021.46811208443</v>
      </c>
      <c r="M137" s="26">
        <f t="shared" si="15"/>
        <v>547754.24938847125</v>
      </c>
      <c r="N137" s="26">
        <f t="shared" si="15"/>
        <v>542923.79115911375</v>
      </c>
      <c r="O137" s="26">
        <f t="shared" si="15"/>
        <v>537996.72376516892</v>
      </c>
      <c r="P137" s="26">
        <f t="shared" si="15"/>
        <v>532971.11502334545</v>
      </c>
      <c r="Q137" s="26">
        <f t="shared" si="15"/>
        <v>527844.99410668528</v>
      </c>
      <c r="R137" s="26">
        <f t="shared" si="15"/>
        <v>522616.35077169217</v>
      </c>
      <c r="S137" s="26">
        <f t="shared" si="15"/>
        <v>517283.13456999895</v>
      </c>
      <c r="T137" s="26">
        <f t="shared" si="15"/>
        <v>511843.25404427189</v>
      </c>
      <c r="U137" s="26">
        <f t="shared" si="15"/>
        <v>506294.57590803038</v>
      </c>
      <c r="V137" s="26">
        <f t="shared" si="15"/>
        <v>500634.92420906399</v>
      </c>
    </row>
    <row r="139" spans="1:22" ht="14.4" thickBot="1" x14ac:dyDescent="0.3">
      <c r="B139" s="2" t="s">
        <v>76</v>
      </c>
      <c r="L139" s="49"/>
      <c r="M139" s="49"/>
    </row>
    <row r="140" spans="1:22" x14ac:dyDescent="0.25">
      <c r="B140" s="57" t="s">
        <v>82</v>
      </c>
      <c r="C140" s="77">
        <f>C80</f>
        <v>2021</v>
      </c>
      <c r="D140" s="77">
        <f t="shared" ref="D140:V140" si="16">D80</f>
        <v>2022</v>
      </c>
      <c r="E140" s="77">
        <f t="shared" si="16"/>
        <v>2023</v>
      </c>
      <c r="F140" s="77">
        <f t="shared" si="16"/>
        <v>2024</v>
      </c>
      <c r="G140" s="77">
        <f t="shared" si="16"/>
        <v>2025</v>
      </c>
      <c r="H140" s="77">
        <f t="shared" si="16"/>
        <v>2026</v>
      </c>
      <c r="I140" s="77">
        <f t="shared" si="16"/>
        <v>2027</v>
      </c>
      <c r="J140" s="77">
        <f t="shared" si="16"/>
        <v>2028</v>
      </c>
      <c r="K140" s="77">
        <f t="shared" si="16"/>
        <v>2029</v>
      </c>
      <c r="L140" s="77">
        <f t="shared" si="16"/>
        <v>2030</v>
      </c>
      <c r="M140" s="77">
        <f t="shared" si="16"/>
        <v>2031</v>
      </c>
      <c r="N140" s="77">
        <f t="shared" si="16"/>
        <v>2032</v>
      </c>
      <c r="O140" s="77">
        <f t="shared" si="16"/>
        <v>2033</v>
      </c>
      <c r="P140" s="77">
        <f t="shared" si="16"/>
        <v>2034</v>
      </c>
      <c r="Q140" s="77">
        <f t="shared" si="16"/>
        <v>2035</v>
      </c>
      <c r="R140" s="77">
        <f t="shared" si="16"/>
        <v>2036</v>
      </c>
      <c r="S140" s="77">
        <f t="shared" si="16"/>
        <v>2037</v>
      </c>
      <c r="T140" s="77">
        <f t="shared" si="16"/>
        <v>2038</v>
      </c>
      <c r="U140" s="77">
        <f t="shared" si="16"/>
        <v>2039</v>
      </c>
      <c r="V140" s="77">
        <f t="shared" si="16"/>
        <v>2040</v>
      </c>
    </row>
    <row r="141" spans="1:22" x14ac:dyDescent="0.25">
      <c r="B141" s="36" t="s">
        <v>43</v>
      </c>
      <c r="C141" s="37">
        <f>SUMIF($B81:$B135,$B141,C$81:C$135)</f>
        <v>609439.12110527779</v>
      </c>
      <c r="D141" s="37">
        <f t="shared" ref="D141:V141" si="17">SUMIF($B81:$B135,$B141,D$81:D$135)</f>
        <v>519948.9128763667</v>
      </c>
      <c r="E141" s="37">
        <f t="shared" si="17"/>
        <v>425948.74252356874</v>
      </c>
      <c r="F141" s="37">
        <f t="shared" si="17"/>
        <v>330762.42415212019</v>
      </c>
      <c r="G141" s="37">
        <f t="shared" si="17"/>
        <v>230621.78307160601</v>
      </c>
      <c r="H141" s="37">
        <f t="shared" si="17"/>
        <v>126621.17546217027</v>
      </c>
      <c r="I141" s="37">
        <f t="shared" si="17"/>
        <v>18646.258919088054</v>
      </c>
      <c r="J141" s="37">
        <f t="shared" si="17"/>
        <v>-93420.338671942241</v>
      </c>
      <c r="K141" s="37">
        <f t="shared" si="17"/>
        <v>-209699.09458622185</v>
      </c>
      <c r="L141" s="37">
        <f t="shared" si="17"/>
        <v>-330313.66851764405</v>
      </c>
      <c r="M141" s="37">
        <f t="shared" si="17"/>
        <v>58852.169579852954</v>
      </c>
      <c r="N141" s="37">
        <f t="shared" si="17"/>
        <v>46303.42930802796</v>
      </c>
      <c r="O141" s="37">
        <f t="shared" si="17"/>
        <v>33503.714230766171</v>
      </c>
      <c r="P141" s="37">
        <f t="shared" si="17"/>
        <v>20448.004851959297</v>
      </c>
      <c r="Q141" s="37">
        <f t="shared" si="17"/>
        <v>7131.1812855761964</v>
      </c>
      <c r="R141" s="37">
        <f t="shared" si="17"/>
        <v>-6451.9787521342514</v>
      </c>
      <c r="S141" s="37">
        <f t="shared" si="17"/>
        <v>-20306.801990599371</v>
      </c>
      <c r="T141" s="37">
        <f t="shared" si="17"/>
        <v>-34438.721693833591</v>
      </c>
      <c r="U141" s="37">
        <f t="shared" si="17"/>
        <v>-48853.279791132431</v>
      </c>
      <c r="V141" s="37">
        <f t="shared" si="17"/>
        <v>-63556.129050377291</v>
      </c>
    </row>
    <row r="142" spans="1:22" x14ac:dyDescent="0.25">
      <c r="B142" s="36" t="s">
        <v>41</v>
      </c>
      <c r="C142" s="37">
        <f>SUMIF($B81:$B135,$B142,C$81:C$135)</f>
        <v>946594.00210999965</v>
      </c>
      <c r="D142" s="37">
        <f t="shared" ref="D142:V142" si="18">SUMIF($B81:$B135,$B142,D$81:D$135)</f>
        <v>727512.82482435042</v>
      </c>
      <c r="E142" s="37">
        <f t="shared" si="18"/>
        <v>607178.55386637861</v>
      </c>
      <c r="F142" s="37">
        <f t="shared" si="18"/>
        <v>411334.80990627763</v>
      </c>
      <c r="G142" s="37">
        <f t="shared" si="18"/>
        <v>495311.35021793313</v>
      </c>
      <c r="H142" s="37">
        <f t="shared" si="18"/>
        <v>448013.15495194035</v>
      </c>
      <c r="I142" s="37">
        <f t="shared" si="18"/>
        <v>405964.17222121218</v>
      </c>
      <c r="J142" s="37">
        <f t="shared" si="18"/>
        <v>468292.18419044785</v>
      </c>
      <c r="K142" s="37">
        <f t="shared" si="18"/>
        <v>474473.83884065441</v>
      </c>
      <c r="L142" s="37">
        <f t="shared" si="18"/>
        <v>480716.69799234817</v>
      </c>
      <c r="M142" s="37">
        <f t="shared" si="18"/>
        <v>490268.27249443956</v>
      </c>
      <c r="N142" s="37">
        <f t="shared" si="18"/>
        <v>500010.87848657271</v>
      </c>
      <c r="O142" s="37">
        <f t="shared" si="18"/>
        <v>509948.33659854869</v>
      </c>
      <c r="P142" s="37">
        <f t="shared" si="18"/>
        <v>520084.5438727641</v>
      </c>
      <c r="Q142" s="37">
        <f t="shared" si="18"/>
        <v>530423.47529246379</v>
      </c>
      <c r="R142" s="37">
        <f t="shared" si="18"/>
        <v>540969.18534055736</v>
      </c>
      <c r="S142" s="37">
        <f t="shared" si="18"/>
        <v>551725.80958961311</v>
      </c>
      <c r="T142" s="37">
        <f t="shared" si="18"/>
        <v>562697.56632364984</v>
      </c>
      <c r="U142" s="37">
        <f t="shared" si="18"/>
        <v>573888.75819236727</v>
      </c>
      <c r="V142" s="37">
        <f t="shared" si="18"/>
        <v>585303.77389845904</v>
      </c>
    </row>
    <row r="143" spans="1:22" x14ac:dyDescent="0.25">
      <c r="B143" s="36" t="s">
        <v>40</v>
      </c>
      <c r="C143" s="37">
        <f>SUMIF($B81:$B135,$B143,C$81:C$135)</f>
        <v>14990.287088507932</v>
      </c>
      <c r="D143" s="37">
        <f t="shared" ref="D143:V143" si="19">SUMIF($B81:$B135,$B143,D$81:D$135)</f>
        <v>14790.422113933966</v>
      </c>
      <c r="E143" s="37">
        <f t="shared" si="19"/>
        <v>16801.29468917078</v>
      </c>
      <c r="F143" s="37">
        <f t="shared" si="19"/>
        <v>16738.941275205882</v>
      </c>
      <c r="G143" s="37">
        <f t="shared" si="19"/>
        <v>16670.797901372818</v>
      </c>
      <c r="H143" s="37">
        <f t="shared" si="19"/>
        <v>16596.657910642443</v>
      </c>
      <c r="I143" s="37">
        <f t="shared" si="19"/>
        <v>16516.3086956884</v>
      </c>
      <c r="J143" s="37">
        <f t="shared" si="19"/>
        <v>16429.531543538033</v>
      </c>
      <c r="K143" s="37">
        <f t="shared" si="19"/>
        <v>16336.101476389471</v>
      </c>
      <c r="L143" s="37">
        <f t="shared" si="19"/>
        <v>16235.787088503646</v>
      </c>
      <c r="M143" s="37">
        <f t="shared" si="19"/>
        <v>16389.268101968959</v>
      </c>
      <c r="N143" s="37">
        <f t="shared" si="19"/>
        <v>16545.818735703575</v>
      </c>
      <c r="O143" s="37">
        <f t="shared" si="19"/>
        <v>16705.500382112885</v>
      </c>
      <c r="P143" s="37">
        <f t="shared" si="19"/>
        <v>16868.37566145038</v>
      </c>
      <c r="Q143" s="37">
        <f t="shared" si="19"/>
        <v>17034.508446374624</v>
      </c>
      <c r="R143" s="37">
        <f t="shared" si="19"/>
        <v>17203.963886997357</v>
      </c>
      <c r="S143" s="37">
        <f t="shared" si="19"/>
        <v>17376.80843643254</v>
      </c>
      <c r="T143" s="37">
        <f t="shared" si="19"/>
        <v>17553.109876856433</v>
      </c>
      <c r="U143" s="37">
        <f t="shared" si="19"/>
        <v>17732.937346088795</v>
      </c>
      <c r="V143" s="37">
        <f t="shared" si="19"/>
        <v>17916.361364705808</v>
      </c>
    </row>
    <row r="144" spans="1:22" x14ac:dyDescent="0.25">
      <c r="B144" s="36" t="s">
        <v>80</v>
      </c>
      <c r="C144" s="37">
        <f>SUMIF($B81:$B135,$B144,C$81:C$135)</f>
        <v>0</v>
      </c>
      <c r="D144" s="37">
        <f t="shared" ref="D144:V144" si="20">SUMIF($B81:$B135,$B144,D$81:D$135)</f>
        <v>0</v>
      </c>
      <c r="E144" s="37">
        <f t="shared" si="20"/>
        <v>0</v>
      </c>
      <c r="F144" s="37">
        <f t="shared" si="20"/>
        <v>0</v>
      </c>
      <c r="G144" s="37">
        <f t="shared" si="20"/>
        <v>0</v>
      </c>
      <c r="H144" s="37">
        <f>SUMIF($B81:$B135,$B144,H$81:H$135)</f>
        <v>0</v>
      </c>
      <c r="I144" s="37">
        <f t="shared" si="20"/>
        <v>0</v>
      </c>
      <c r="J144" s="37">
        <f t="shared" si="20"/>
        <v>0</v>
      </c>
      <c r="K144" s="37">
        <f t="shared" si="20"/>
        <v>0</v>
      </c>
      <c r="L144" s="37">
        <f t="shared" si="20"/>
        <v>0</v>
      </c>
      <c r="M144" s="37">
        <f t="shared" si="20"/>
        <v>0</v>
      </c>
      <c r="N144" s="37">
        <f t="shared" si="20"/>
        <v>0</v>
      </c>
      <c r="O144" s="37">
        <f t="shared" si="20"/>
        <v>0</v>
      </c>
      <c r="P144" s="37">
        <f t="shared" si="20"/>
        <v>0</v>
      </c>
      <c r="Q144" s="37">
        <f t="shared" si="20"/>
        <v>0</v>
      </c>
      <c r="R144" s="37">
        <f t="shared" si="20"/>
        <v>0</v>
      </c>
      <c r="S144" s="37">
        <f t="shared" si="20"/>
        <v>0</v>
      </c>
      <c r="T144" s="37">
        <f t="shared" si="20"/>
        <v>0</v>
      </c>
      <c r="U144" s="37">
        <f t="shared" si="20"/>
        <v>0</v>
      </c>
      <c r="V144" s="37">
        <f t="shared" si="20"/>
        <v>0</v>
      </c>
    </row>
    <row r="145" spans="1:22" x14ac:dyDescent="0.25">
      <c r="B145" s="36" t="s">
        <v>44</v>
      </c>
      <c r="C145" s="37">
        <f>SUMIF($B81:$B135,$B145,C$81:C$135)</f>
        <v>0</v>
      </c>
      <c r="D145" s="37">
        <f t="shared" ref="D145:V145" si="21">SUMIF($B81:$B135,$B145,D$81:D$135)</f>
        <v>0</v>
      </c>
      <c r="E145" s="37">
        <f t="shared" si="21"/>
        <v>0</v>
      </c>
      <c r="F145" s="37">
        <f t="shared" si="21"/>
        <v>0</v>
      </c>
      <c r="G145" s="37">
        <f t="shared" si="21"/>
        <v>0</v>
      </c>
      <c r="H145" s="37">
        <f t="shared" si="21"/>
        <v>0</v>
      </c>
      <c r="I145" s="37">
        <f t="shared" si="21"/>
        <v>0</v>
      </c>
      <c r="J145" s="37">
        <f t="shared" si="21"/>
        <v>0</v>
      </c>
      <c r="K145" s="37">
        <f t="shared" si="21"/>
        <v>0</v>
      </c>
      <c r="L145" s="37">
        <f t="shared" si="21"/>
        <v>0</v>
      </c>
      <c r="M145" s="37">
        <f t="shared" si="21"/>
        <v>0</v>
      </c>
      <c r="N145" s="37">
        <f t="shared" si="21"/>
        <v>0</v>
      </c>
      <c r="O145" s="37">
        <f t="shared" si="21"/>
        <v>0</v>
      </c>
      <c r="P145" s="37">
        <f t="shared" si="21"/>
        <v>0</v>
      </c>
      <c r="Q145" s="37">
        <f t="shared" si="21"/>
        <v>0</v>
      </c>
      <c r="R145" s="37">
        <f t="shared" si="21"/>
        <v>0</v>
      </c>
      <c r="S145" s="37">
        <f t="shared" si="21"/>
        <v>0</v>
      </c>
      <c r="T145" s="37">
        <f t="shared" si="21"/>
        <v>0</v>
      </c>
      <c r="U145" s="37">
        <f t="shared" si="21"/>
        <v>0</v>
      </c>
      <c r="V145" s="37">
        <f t="shared" si="21"/>
        <v>0</v>
      </c>
    </row>
    <row r="146" spans="1:22" x14ac:dyDescent="0.25">
      <c r="B146" s="36" t="s">
        <v>81</v>
      </c>
      <c r="C146" s="37">
        <f>SUMIF($B81:$B135,$B146,C$81:C$135)</f>
        <v>0</v>
      </c>
      <c r="D146" s="37">
        <f t="shared" ref="D146:V146" si="22">SUMIF($B81:$B135,$B146,D$81:D$135)</f>
        <v>0</v>
      </c>
      <c r="E146" s="37">
        <f t="shared" si="22"/>
        <v>0</v>
      </c>
      <c r="F146" s="37">
        <f t="shared" si="22"/>
        <v>0</v>
      </c>
      <c r="G146" s="37">
        <f t="shared" si="22"/>
        <v>0</v>
      </c>
      <c r="H146" s="37">
        <f t="shared" si="22"/>
        <v>0</v>
      </c>
      <c r="I146" s="37">
        <f t="shared" si="22"/>
        <v>0</v>
      </c>
      <c r="J146" s="37">
        <f t="shared" si="22"/>
        <v>0</v>
      </c>
      <c r="K146" s="37">
        <f t="shared" si="22"/>
        <v>0</v>
      </c>
      <c r="L146" s="37">
        <f t="shared" si="22"/>
        <v>0</v>
      </c>
      <c r="M146" s="37">
        <f t="shared" si="22"/>
        <v>0</v>
      </c>
      <c r="N146" s="37">
        <f t="shared" si="22"/>
        <v>0</v>
      </c>
      <c r="O146" s="37">
        <f t="shared" si="22"/>
        <v>0</v>
      </c>
      <c r="P146" s="37">
        <f t="shared" si="22"/>
        <v>0</v>
      </c>
      <c r="Q146" s="37">
        <f t="shared" si="22"/>
        <v>0</v>
      </c>
      <c r="R146" s="37">
        <f t="shared" si="22"/>
        <v>0</v>
      </c>
      <c r="S146" s="37">
        <f t="shared" si="22"/>
        <v>0</v>
      </c>
      <c r="T146" s="37">
        <f t="shared" si="22"/>
        <v>0</v>
      </c>
      <c r="U146" s="37">
        <f t="shared" si="22"/>
        <v>0</v>
      </c>
      <c r="V146" s="37">
        <f t="shared" si="22"/>
        <v>0</v>
      </c>
    </row>
    <row r="147" spans="1:22" x14ac:dyDescent="0.25">
      <c r="B147" s="36" t="s">
        <v>42</v>
      </c>
      <c r="C147" s="37">
        <f>SUMIF($B81:$B135,$B147,C$81:C$135)</f>
        <v>1472.7862655555555</v>
      </c>
      <c r="D147" s="37">
        <f t="shared" ref="D147:V147" si="23">SUMIF($B81:$B135,$B147,D$81:D$135)</f>
        <v>1512.0012127777777</v>
      </c>
      <c r="E147" s="37">
        <f t="shared" si="23"/>
        <v>1460.5163599999998</v>
      </c>
      <c r="F147" s="37">
        <f t="shared" si="23"/>
        <v>1477.6676861111109</v>
      </c>
      <c r="G147" s="37">
        <f t="shared" si="23"/>
        <v>1442.2270488888887</v>
      </c>
      <c r="H147" s="37">
        <f t="shared" si="23"/>
        <v>1442.2270488888887</v>
      </c>
      <c r="I147" s="37">
        <f t="shared" si="23"/>
        <v>1442.2270488888887</v>
      </c>
      <c r="J147" s="37">
        <f t="shared" si="23"/>
        <v>1442.2270488888887</v>
      </c>
      <c r="K147" s="37">
        <f t="shared" si="23"/>
        <v>1442.2270488888887</v>
      </c>
      <c r="L147" s="37">
        <f t="shared" si="23"/>
        <v>1442.2270488888887</v>
      </c>
      <c r="M147" s="37">
        <f t="shared" si="23"/>
        <v>1442.2270488888887</v>
      </c>
      <c r="N147" s="37">
        <f t="shared" si="23"/>
        <v>1442.2270488888887</v>
      </c>
      <c r="O147" s="37">
        <f t="shared" si="23"/>
        <v>1442.2270488888887</v>
      </c>
      <c r="P147" s="37">
        <f t="shared" si="23"/>
        <v>1442.2270488888887</v>
      </c>
      <c r="Q147" s="37">
        <f t="shared" si="23"/>
        <v>1442.2270488888887</v>
      </c>
      <c r="R147" s="37">
        <f t="shared" si="23"/>
        <v>1442.2270488888887</v>
      </c>
      <c r="S147" s="37">
        <f t="shared" si="23"/>
        <v>1442.2270488888887</v>
      </c>
      <c r="T147" s="37">
        <f t="shared" si="23"/>
        <v>1442.2270488888887</v>
      </c>
      <c r="U147" s="37">
        <f t="shared" si="23"/>
        <v>1442.2270488888887</v>
      </c>
      <c r="V147" s="37">
        <f t="shared" si="23"/>
        <v>1442.2270488888887</v>
      </c>
    </row>
    <row r="148" spans="1:22" ht="14.4" thickBot="1" x14ac:dyDescent="0.3">
      <c r="B148" s="42" t="s">
        <v>45</v>
      </c>
      <c r="C148" s="37">
        <f>SUMIF($B81:$B135,$B148,C$81:C$135)</f>
        <v>64004.337319000013</v>
      </c>
      <c r="D148" s="37">
        <f t="shared" ref="D148:V148" si="24">SUMIF($B81:$B135,$B148,D$81:D$135)</f>
        <v>127401.18589624894</v>
      </c>
      <c r="E148" s="37">
        <f t="shared" si="24"/>
        <v>100146.86040297127</v>
      </c>
      <c r="F148" s="37">
        <f t="shared" si="24"/>
        <v>71861.737723627579</v>
      </c>
      <c r="G148" s="37">
        <f t="shared" si="24"/>
        <v>42433.707937305822</v>
      </c>
      <c r="H148" s="37">
        <f t="shared" si="24"/>
        <v>109206.69086227258</v>
      </c>
      <c r="I148" s="37">
        <f t="shared" si="24"/>
        <v>79379.88279360767</v>
      </c>
      <c r="J148" s="37">
        <f t="shared" si="24"/>
        <v>48352.101260985946</v>
      </c>
      <c r="K148" s="37">
        <f t="shared" si="24"/>
        <v>16087.238049076564</v>
      </c>
      <c r="L148" s="37">
        <f t="shared" si="24"/>
        <v>-17451.778996678913</v>
      </c>
      <c r="M148" s="37">
        <f t="shared" si="24"/>
        <v>-19589.891333345819</v>
      </c>
      <c r="N148" s="37">
        <f t="shared" si="24"/>
        <v>-21770.765916746052</v>
      </c>
      <c r="O148" s="37">
        <f t="shared" si="24"/>
        <v>-23995.257991814331</v>
      </c>
      <c r="P148" s="37">
        <f t="shared" si="24"/>
        <v>-26264.239908383941</v>
      </c>
      <c r="Q148" s="37">
        <f t="shared" si="24"/>
        <v>-28578.601463284969</v>
      </c>
      <c r="R148" s="37">
        <f t="shared" si="24"/>
        <v>-30939.25024928397</v>
      </c>
      <c r="S148" s="37">
        <f t="shared" si="24"/>
        <v>-33347.112011003002</v>
      </c>
      <c r="T148" s="37">
        <f t="shared" si="24"/>
        <v>-35803.131007956399</v>
      </c>
      <c r="U148" s="37">
        <f t="shared" si="24"/>
        <v>-38308.270384848845</v>
      </c>
      <c r="V148" s="37">
        <f t="shared" si="24"/>
        <v>-40863.512549279156</v>
      </c>
    </row>
    <row r="149" spans="1:22" x14ac:dyDescent="0.25">
      <c r="L149" s="49"/>
      <c r="M149" s="49"/>
    </row>
    <row r="150" spans="1:22" x14ac:dyDescent="0.25">
      <c r="C150" s="26">
        <f>SUM(C141:C148)</f>
        <v>1636500.5338883409</v>
      </c>
      <c r="D150" s="26">
        <f t="shared" ref="D150:V150" si="25">SUM(D141:D148)</f>
        <v>1391165.3469236779</v>
      </c>
      <c r="E150" s="26">
        <f t="shared" si="25"/>
        <v>1151535.9678420895</v>
      </c>
      <c r="F150" s="26">
        <f t="shared" si="25"/>
        <v>832175.58074334241</v>
      </c>
      <c r="G150" s="26">
        <f t="shared" si="25"/>
        <v>786479.86617710663</v>
      </c>
      <c r="H150" s="26">
        <f t="shared" si="25"/>
        <v>701879.90623591444</v>
      </c>
      <c r="I150" s="26">
        <f t="shared" si="25"/>
        <v>521948.84967848513</v>
      </c>
      <c r="J150" s="26">
        <f t="shared" si="25"/>
        <v>441095.70537191845</v>
      </c>
      <c r="K150" s="26">
        <f t="shared" si="25"/>
        <v>298640.31082878745</v>
      </c>
      <c r="L150" s="111">
        <f t="shared" si="25"/>
        <v>150629.26461541775</v>
      </c>
      <c r="M150" s="111">
        <f t="shared" si="25"/>
        <v>547362.04589180462</v>
      </c>
      <c r="N150" s="26">
        <f t="shared" si="25"/>
        <v>542531.58766244724</v>
      </c>
      <c r="O150" s="26">
        <f t="shared" si="25"/>
        <v>537604.52026850241</v>
      </c>
      <c r="P150" s="26">
        <f t="shared" si="25"/>
        <v>532578.91152667871</v>
      </c>
      <c r="Q150" s="26">
        <f t="shared" si="25"/>
        <v>527452.79061001865</v>
      </c>
      <c r="R150" s="26">
        <f t="shared" si="25"/>
        <v>522224.14727502537</v>
      </c>
      <c r="S150" s="26">
        <f t="shared" si="25"/>
        <v>516890.93107333215</v>
      </c>
      <c r="T150" s="26">
        <f t="shared" si="25"/>
        <v>511451.05054760521</v>
      </c>
      <c r="U150" s="26">
        <f t="shared" si="25"/>
        <v>505902.37241136376</v>
      </c>
      <c r="V150" s="26">
        <f t="shared" si="25"/>
        <v>500242.72071239736</v>
      </c>
    </row>
    <row r="151" spans="1:22" x14ac:dyDescent="0.25">
      <c r="C151" s="96"/>
      <c r="D151" s="96"/>
      <c r="E151" s="96"/>
      <c r="F151" s="96"/>
      <c r="G151" s="96"/>
      <c r="H151" s="96"/>
      <c r="I151" s="96"/>
      <c r="J151" s="96"/>
      <c r="K151" s="96"/>
      <c r="L151" s="110"/>
      <c r="M151" s="110"/>
      <c r="N151" s="96"/>
      <c r="O151" s="96"/>
      <c r="P151" s="96"/>
      <c r="Q151" s="96"/>
      <c r="R151" s="96"/>
      <c r="S151" s="96"/>
      <c r="T151" s="96"/>
      <c r="U151" s="96"/>
      <c r="V151" s="96"/>
    </row>
    <row r="152" spans="1:22" ht="14.4" thickBot="1" x14ac:dyDescent="0.3">
      <c r="B152" s="2" t="s">
        <v>76</v>
      </c>
      <c r="L152" s="49"/>
      <c r="M152" s="49"/>
    </row>
    <row r="153" spans="1:22" x14ac:dyDescent="0.25">
      <c r="B153" s="57" t="s">
        <v>82</v>
      </c>
      <c r="C153" s="77">
        <v>2021</v>
      </c>
      <c r="D153" s="77">
        <v>2022</v>
      </c>
      <c r="E153" s="77">
        <v>2023</v>
      </c>
      <c r="F153" s="77">
        <v>2024</v>
      </c>
      <c r="G153" s="77">
        <v>2025</v>
      </c>
      <c r="H153" s="77">
        <v>2026</v>
      </c>
      <c r="I153" s="77">
        <v>2027</v>
      </c>
      <c r="J153" s="77">
        <v>2028</v>
      </c>
      <c r="K153" s="77">
        <v>2029</v>
      </c>
      <c r="L153" s="77">
        <v>2030</v>
      </c>
      <c r="M153" s="77">
        <v>2031</v>
      </c>
      <c r="N153" s="77">
        <v>2032</v>
      </c>
      <c r="O153" s="77">
        <v>2033</v>
      </c>
      <c r="P153" s="77">
        <v>2034</v>
      </c>
      <c r="Q153" s="77">
        <v>2035</v>
      </c>
      <c r="R153" s="77">
        <v>2036</v>
      </c>
      <c r="S153" s="77">
        <v>2037</v>
      </c>
      <c r="T153" s="77">
        <v>2038</v>
      </c>
      <c r="U153" s="77">
        <v>2039</v>
      </c>
      <c r="V153" s="77">
        <v>2040</v>
      </c>
    </row>
    <row r="154" spans="1:22" x14ac:dyDescent="0.25">
      <c r="B154" s="36" t="s">
        <v>95</v>
      </c>
      <c r="C154" s="109">
        <f>SUM(C81:C127)</f>
        <v>1752490.7143116661</v>
      </c>
      <c r="D154" s="109">
        <f>SUM(D81:D127)</f>
        <v>1484345.8994103172</v>
      </c>
      <c r="E154" s="109">
        <f t="shared" ref="E154:V154" si="26">SUM(E81:E127)</f>
        <v>1340904.3555357142</v>
      </c>
      <c r="F154" s="109">
        <f t="shared" si="26"/>
        <v>1077474.1436682539</v>
      </c>
      <c r="G154" s="109">
        <f t="shared" si="26"/>
        <v>1075186.4077471427</v>
      </c>
      <c r="H154" s="109">
        <f t="shared" si="26"/>
        <v>936868.51792507921</v>
      </c>
      <c r="I154" s="109">
        <f t="shared" si="26"/>
        <v>801695.03898690466</v>
      </c>
      <c r="J154" s="109">
        <f t="shared" si="26"/>
        <v>797898.18758468248</v>
      </c>
      <c r="K154" s="109">
        <f t="shared" si="26"/>
        <v>797898.18758468248</v>
      </c>
      <c r="L154" s="109">
        <f t="shared" si="26"/>
        <v>797898.18758468248</v>
      </c>
      <c r="M154" s="109">
        <f t="shared" si="26"/>
        <v>789277.16085634916</v>
      </c>
      <c r="N154" s="109">
        <f t="shared" si="26"/>
        <v>789277.16085634916</v>
      </c>
      <c r="O154" s="109">
        <f t="shared" si="26"/>
        <v>789277.16085634916</v>
      </c>
      <c r="P154" s="109">
        <f t="shared" si="26"/>
        <v>789277.16085634916</v>
      </c>
      <c r="Q154" s="109">
        <f t="shared" si="26"/>
        <v>789277.16085634916</v>
      </c>
      <c r="R154" s="109">
        <f t="shared" si="26"/>
        <v>789277.16085634916</v>
      </c>
      <c r="S154" s="109">
        <f t="shared" si="26"/>
        <v>789277.16085634916</v>
      </c>
      <c r="T154" s="109">
        <f t="shared" si="26"/>
        <v>789277.16085634916</v>
      </c>
      <c r="U154" s="109">
        <f t="shared" si="26"/>
        <v>789277.16085634916</v>
      </c>
      <c r="V154" s="109">
        <f t="shared" si="26"/>
        <v>789277.16085634916</v>
      </c>
    </row>
    <row r="155" spans="1:22" x14ac:dyDescent="0.25">
      <c r="B155" s="36" t="s">
        <v>96</v>
      </c>
      <c r="C155" s="98">
        <f>SUM(C128:C135)</f>
        <v>-115482.04037610318</v>
      </c>
      <c r="D155" s="98">
        <f>SUM(D128:D135)</f>
        <v>-92802.961097750464</v>
      </c>
      <c r="E155" s="98">
        <f t="shared" ref="E155:V155" si="27">SUM(E128:E135)</f>
        <v>-189061.13908251349</v>
      </c>
      <c r="F155" s="98">
        <f t="shared" si="27"/>
        <v>-244906.35942824476</v>
      </c>
      <c r="G155" s="98">
        <f t="shared" si="27"/>
        <v>-288314.33807336941</v>
      </c>
      <c r="H155" s="98">
        <f t="shared" si="27"/>
        <v>-234596.40819249806</v>
      </c>
      <c r="I155" s="98">
        <f t="shared" si="27"/>
        <v>-279353.98581175285</v>
      </c>
      <c r="J155" s="98">
        <f t="shared" si="27"/>
        <v>-356410.27871609735</v>
      </c>
      <c r="K155" s="98">
        <f t="shared" si="27"/>
        <v>-498865.67325922835</v>
      </c>
      <c r="L155" s="98">
        <f t="shared" si="27"/>
        <v>-646876.71947259805</v>
      </c>
      <c r="M155" s="98">
        <f t="shared" si="27"/>
        <v>-241522.91146787797</v>
      </c>
      <c r="N155" s="98">
        <f t="shared" si="27"/>
        <v>-246353.36969723541</v>
      </c>
      <c r="O155" s="98">
        <f t="shared" si="27"/>
        <v>-251280.43709118018</v>
      </c>
      <c r="P155" s="98">
        <f t="shared" si="27"/>
        <v>-256306.04583300377</v>
      </c>
      <c r="Q155" s="98">
        <f t="shared" si="27"/>
        <v>-261432.16674966391</v>
      </c>
      <c r="R155" s="98">
        <f t="shared" si="27"/>
        <v>-266660.81008465705</v>
      </c>
      <c r="S155" s="98">
        <f t="shared" si="27"/>
        <v>-271994.02628635027</v>
      </c>
      <c r="T155" s="98">
        <f t="shared" si="27"/>
        <v>-277433.90681207727</v>
      </c>
      <c r="U155" s="98">
        <f t="shared" si="27"/>
        <v>-282982.58494831878</v>
      </c>
      <c r="V155" s="98">
        <f t="shared" si="27"/>
        <v>-288642.23664728517</v>
      </c>
    </row>
    <row r="156" spans="1:22" x14ac:dyDescent="0.25">
      <c r="C156" s="110"/>
      <c r="D156" s="110"/>
      <c r="E156" s="110"/>
      <c r="F156" s="110"/>
      <c r="G156" s="110"/>
      <c r="H156" s="110"/>
      <c r="I156" s="110"/>
      <c r="J156" s="110"/>
      <c r="K156" s="110"/>
      <c r="L156" s="110"/>
      <c r="M156" s="110"/>
      <c r="N156" s="110"/>
      <c r="O156" s="110"/>
      <c r="P156" s="110"/>
      <c r="Q156" s="110"/>
      <c r="R156" s="110"/>
      <c r="S156" s="110"/>
      <c r="T156" s="110"/>
      <c r="U156" s="110"/>
      <c r="V156" s="110"/>
    </row>
    <row r="157" spans="1:22" x14ac:dyDescent="0.25">
      <c r="C157" s="26">
        <f>SUM(C154:C155)</f>
        <v>1637008.6739355628</v>
      </c>
      <c r="D157" s="26">
        <f t="shared" ref="D157:V157" si="28">SUM(D154:D155)</f>
        <v>1391542.9383125668</v>
      </c>
      <c r="E157" s="26">
        <f t="shared" si="28"/>
        <v>1151843.2164532007</v>
      </c>
      <c r="F157" s="26">
        <f t="shared" si="28"/>
        <v>832567.78424000915</v>
      </c>
      <c r="G157" s="26">
        <f t="shared" si="28"/>
        <v>786872.06967377337</v>
      </c>
      <c r="H157" s="26">
        <f t="shared" si="28"/>
        <v>702272.10973258119</v>
      </c>
      <c r="I157" s="26">
        <f t="shared" si="28"/>
        <v>522341.05317515181</v>
      </c>
      <c r="J157" s="26">
        <f t="shared" si="28"/>
        <v>441487.90886858513</v>
      </c>
      <c r="K157" s="26">
        <f t="shared" si="28"/>
        <v>299032.51432545413</v>
      </c>
      <c r="L157" s="26">
        <f t="shared" si="28"/>
        <v>151021.46811208443</v>
      </c>
      <c r="M157" s="26">
        <f t="shared" si="28"/>
        <v>547754.24938847125</v>
      </c>
      <c r="N157" s="26">
        <f t="shared" si="28"/>
        <v>542923.79115911375</v>
      </c>
      <c r="O157" s="26">
        <f t="shared" si="28"/>
        <v>537996.72376516904</v>
      </c>
      <c r="P157" s="26">
        <f t="shared" si="28"/>
        <v>532971.11502334545</v>
      </c>
      <c r="Q157" s="26">
        <f t="shared" si="28"/>
        <v>527844.99410668528</v>
      </c>
      <c r="R157" s="26">
        <f t="shared" si="28"/>
        <v>522616.35077169212</v>
      </c>
      <c r="S157" s="26">
        <f t="shared" si="28"/>
        <v>517283.13456999889</v>
      </c>
      <c r="T157" s="26">
        <f t="shared" si="28"/>
        <v>511843.25404427189</v>
      </c>
      <c r="U157" s="26">
        <f t="shared" si="28"/>
        <v>506294.57590803038</v>
      </c>
      <c r="V157" s="26">
        <f t="shared" si="28"/>
        <v>500634.92420906399</v>
      </c>
    </row>
    <row r="159" spans="1:22" x14ac:dyDescent="0.25">
      <c r="A159" s="30" t="s">
        <v>16</v>
      </c>
      <c r="B159" s="30"/>
      <c r="C159" s="30">
        <v>2021</v>
      </c>
      <c r="D159" s="31">
        <v>2022</v>
      </c>
      <c r="E159" s="30">
        <v>2023</v>
      </c>
      <c r="F159" s="31">
        <v>2024</v>
      </c>
      <c r="G159" s="30">
        <v>2025</v>
      </c>
      <c r="H159" s="31">
        <v>2026</v>
      </c>
      <c r="I159" s="30">
        <v>2027</v>
      </c>
      <c r="J159" s="31">
        <v>2028</v>
      </c>
      <c r="K159" s="30">
        <v>2029</v>
      </c>
      <c r="L159" s="31">
        <v>2030</v>
      </c>
      <c r="M159" s="30">
        <v>2031</v>
      </c>
      <c r="N159" s="31">
        <v>2032</v>
      </c>
      <c r="O159" s="30">
        <v>2033</v>
      </c>
      <c r="P159" s="31">
        <v>2034</v>
      </c>
      <c r="Q159" s="30">
        <v>2035</v>
      </c>
      <c r="R159" s="31">
        <v>2036</v>
      </c>
      <c r="S159" s="30">
        <v>2037</v>
      </c>
      <c r="T159" s="31">
        <v>2038</v>
      </c>
      <c r="U159" s="30">
        <v>2039</v>
      </c>
      <c r="V159" s="31">
        <v>2040</v>
      </c>
    </row>
    <row r="160" spans="1:22" x14ac:dyDescent="0.25">
      <c r="A160" s="32" t="s">
        <v>47</v>
      </c>
      <c r="B160" s="33" t="s">
        <v>41</v>
      </c>
      <c r="C160" s="108">
        <f>IFERROR(lifespans_all!C158*DTE_mission_minutes!C2,"-")</f>
        <v>133409.35004928565</v>
      </c>
      <c r="D160" s="108">
        <f>IFERROR(lifespans_all!D158*DTE_mission_minutes!D2,"-")</f>
        <v>133409.35004928565</v>
      </c>
      <c r="E160" s="108">
        <f>IFERROR(lifespans_all!E158*DTE_mission_minutes!E2,"-")</f>
        <v>0</v>
      </c>
      <c r="F160" s="108">
        <f>IFERROR(lifespans_all!F158*DTE_mission_minutes!F2,"-")</f>
        <v>0</v>
      </c>
      <c r="G160" s="108">
        <f>IFERROR(lifespans_all!G158*DTE_mission_minutes!G2,"-")</f>
        <v>0</v>
      </c>
      <c r="H160" s="108">
        <f>IFERROR(lifespans_all!H158*DTE_mission_minutes!H2,"-")</f>
        <v>0</v>
      </c>
      <c r="I160" s="108">
        <f>IFERROR(lifespans_all!I158*DTE_mission_minutes!I2,"-")</f>
        <v>0</v>
      </c>
      <c r="J160" s="108">
        <f>IFERROR(lifespans_all!J158*DTE_mission_minutes!J2,"-")</f>
        <v>0</v>
      </c>
      <c r="K160" s="108">
        <f>IFERROR(lifespans_all!K158*DTE_mission_minutes!K2,"-")</f>
        <v>0</v>
      </c>
      <c r="L160" s="108">
        <f>IFERROR(lifespans_all!L158*DTE_mission_minutes!L2,"-")</f>
        <v>0</v>
      </c>
      <c r="M160" s="108">
        <f>IFERROR(lifespans_all!M158*DTE_mission_minutes!M2,"-")</f>
        <v>0</v>
      </c>
      <c r="N160" s="108">
        <f>IFERROR(lifespans_all!N158*DTE_mission_minutes!N2,"-")</f>
        <v>0</v>
      </c>
      <c r="O160" s="108">
        <f>IFERROR(lifespans_all!O158*DTE_mission_minutes!O2,"-")</f>
        <v>0</v>
      </c>
      <c r="P160" s="108">
        <f>IFERROR(lifespans_all!P158*DTE_mission_minutes!P2,"-")</f>
        <v>0</v>
      </c>
      <c r="Q160" s="108">
        <f>IFERROR(lifespans_all!Q158*DTE_mission_minutes!Q2,"-")</f>
        <v>0</v>
      </c>
      <c r="R160" s="108">
        <f>IFERROR(lifespans_all!R158*DTE_mission_minutes!R2,"-")</f>
        <v>0</v>
      </c>
      <c r="S160" s="108">
        <f>IFERROR(lifespans_all!S158*DTE_mission_minutes!S2,"-")</f>
        <v>0</v>
      </c>
      <c r="T160" s="108">
        <f>IFERROR(lifespans_all!T158*DTE_mission_minutes!T2,"-")</f>
        <v>0</v>
      </c>
      <c r="U160" s="108">
        <f>IFERROR(lifespans_all!U158*DTE_mission_minutes!U2,"-")</f>
        <v>0</v>
      </c>
      <c r="V160" s="108">
        <f>IFERROR(lifespans_all!V158*DTE_mission_minutes!V2,"-")</f>
        <v>0</v>
      </c>
    </row>
    <row r="161" spans="1:22" x14ac:dyDescent="0.25">
      <c r="A161" s="32" t="s">
        <v>17</v>
      </c>
      <c r="B161" s="33" t="s">
        <v>41</v>
      </c>
      <c r="C161" s="108">
        <f>IFERROR(lifespans_all!C159*DTE_mission_minutes!C3,"-")</f>
        <v>2249.4702694444441</v>
      </c>
      <c r="D161" s="108">
        <f>IFERROR(lifespans_all!D159*DTE_mission_minutes!D3,"-")</f>
        <v>1189.7750000000001</v>
      </c>
      <c r="E161" s="108">
        <f>IFERROR(lifespans_all!E159*DTE_mission_minutes!E3,"-")</f>
        <v>649.57638888888891</v>
      </c>
      <c r="F161" s="108">
        <f>IFERROR(lifespans_all!F159*DTE_mission_minutes!F3,"-")</f>
        <v>1663.1641649999997</v>
      </c>
      <c r="G161" s="108">
        <f>IFERROR(lifespans_all!G159*DTE_mission_minutes!G3,"-")</f>
        <v>0</v>
      </c>
      <c r="H161" s="108">
        <f>IFERROR(lifespans_all!H159*DTE_mission_minutes!H3,"-")</f>
        <v>0</v>
      </c>
      <c r="I161" s="108">
        <f>IFERROR(lifespans_all!I159*DTE_mission_minutes!I3,"-")</f>
        <v>0</v>
      </c>
      <c r="J161" s="108">
        <f>IFERROR(lifespans_all!J159*DTE_mission_minutes!J3,"-")</f>
        <v>0</v>
      </c>
      <c r="K161" s="108">
        <f>IFERROR(lifespans_all!K159*DTE_mission_minutes!K3,"-")</f>
        <v>0</v>
      </c>
      <c r="L161" s="108">
        <f>IFERROR(lifespans_all!L159*DTE_mission_minutes!L3,"-")</f>
        <v>0</v>
      </c>
      <c r="M161" s="108">
        <f>IFERROR(lifespans_all!M159*DTE_mission_minutes!M3,"-")</f>
        <v>0</v>
      </c>
      <c r="N161" s="108">
        <f>IFERROR(lifespans_all!N159*DTE_mission_minutes!N3,"-")</f>
        <v>0</v>
      </c>
      <c r="O161" s="108">
        <f>IFERROR(lifespans_all!O159*DTE_mission_minutes!O3,"-")</f>
        <v>0</v>
      </c>
      <c r="P161" s="108">
        <f>IFERROR(lifespans_all!P159*DTE_mission_minutes!P3,"-")</f>
        <v>0</v>
      </c>
      <c r="Q161" s="108">
        <f>IFERROR(lifespans_all!Q159*DTE_mission_minutes!Q3,"-")</f>
        <v>0</v>
      </c>
      <c r="R161" s="108">
        <f>IFERROR(lifespans_all!R159*DTE_mission_minutes!R3,"-")</f>
        <v>0</v>
      </c>
      <c r="S161" s="108">
        <f>IFERROR(lifespans_all!S159*DTE_mission_minutes!S3,"-")</f>
        <v>0</v>
      </c>
      <c r="T161" s="108">
        <f>IFERROR(lifespans_all!T159*DTE_mission_minutes!T3,"-")</f>
        <v>0</v>
      </c>
      <c r="U161" s="108">
        <f>IFERROR(lifespans_all!U159*DTE_mission_minutes!U3,"-")</f>
        <v>0</v>
      </c>
      <c r="V161" s="108">
        <f>IFERROR(lifespans_all!V159*DTE_mission_minutes!V3,"-")</f>
        <v>0</v>
      </c>
    </row>
    <row r="162" spans="1:22" x14ac:dyDescent="0.25">
      <c r="A162" s="32" t="s">
        <v>49</v>
      </c>
      <c r="B162" s="33" t="s">
        <v>41</v>
      </c>
      <c r="C162" s="108">
        <f>IFERROR(lifespans_all!C160*DTE_mission_minutes!C4,"-")</f>
        <v>1151.5091666666667</v>
      </c>
      <c r="D162" s="108">
        <f>IFERROR(lifespans_all!D160*DTE_mission_minutes!D4,"-")</f>
        <v>1164.4527777777778</v>
      </c>
      <c r="E162" s="108">
        <f>IFERROR(lifespans_all!E160*DTE_mission_minutes!E4,"-")</f>
        <v>862.00805555555553</v>
      </c>
      <c r="F162" s="108">
        <f>IFERROR(lifespans_all!F160*DTE_mission_minutes!F4,"-")</f>
        <v>1093.0107777777775</v>
      </c>
      <c r="G162" s="108">
        <f>IFERROR(lifespans_all!G160*DTE_mission_minutes!G4,"-")</f>
        <v>1093.0107777777775</v>
      </c>
      <c r="H162" s="108">
        <f>IFERROR(lifespans_all!H160*DTE_mission_minutes!H4,"-")</f>
        <v>1093.0107777777775</v>
      </c>
      <c r="I162" s="108">
        <f>IFERROR(lifespans_all!I160*DTE_mission_minutes!I4,"-")</f>
        <v>0</v>
      </c>
      <c r="J162" s="108">
        <f>IFERROR(lifespans_all!J160*DTE_mission_minutes!J4,"-")</f>
        <v>0</v>
      </c>
      <c r="K162" s="108">
        <f>IFERROR(lifespans_all!K160*DTE_mission_minutes!K4,"-")</f>
        <v>0</v>
      </c>
      <c r="L162" s="108">
        <f>IFERROR(lifespans_all!L160*DTE_mission_minutes!L4,"-")</f>
        <v>0</v>
      </c>
      <c r="M162" s="108">
        <f>IFERROR(lifespans_all!M160*DTE_mission_minutes!M4,"-")</f>
        <v>0</v>
      </c>
      <c r="N162" s="108">
        <f>IFERROR(lifespans_all!N160*DTE_mission_minutes!N4,"-")</f>
        <v>0</v>
      </c>
      <c r="O162" s="108">
        <f>IFERROR(lifespans_all!O160*DTE_mission_minutes!O4,"-")</f>
        <v>0</v>
      </c>
      <c r="P162" s="108">
        <f>IFERROR(lifespans_all!P160*DTE_mission_minutes!P4,"-")</f>
        <v>0</v>
      </c>
      <c r="Q162" s="108">
        <f>IFERROR(lifespans_all!Q160*DTE_mission_minutes!Q4,"-")</f>
        <v>0</v>
      </c>
      <c r="R162" s="108">
        <f>IFERROR(lifespans_all!R160*DTE_mission_minutes!R4,"-")</f>
        <v>0</v>
      </c>
      <c r="S162" s="108">
        <f>IFERROR(lifespans_all!S160*DTE_mission_minutes!S4,"-")</f>
        <v>0</v>
      </c>
      <c r="T162" s="108">
        <f>IFERROR(lifespans_all!T160*DTE_mission_minutes!T4,"-")</f>
        <v>0</v>
      </c>
      <c r="U162" s="108">
        <f>IFERROR(lifespans_all!U160*DTE_mission_minutes!U4,"-")</f>
        <v>0</v>
      </c>
      <c r="V162" s="108">
        <f>IFERROR(lifespans_all!V160*DTE_mission_minutes!V4,"-")</f>
        <v>0</v>
      </c>
    </row>
    <row r="163" spans="1:22" x14ac:dyDescent="0.25">
      <c r="A163" s="32" t="s">
        <v>50</v>
      </c>
      <c r="B163" s="39" t="s">
        <v>43</v>
      </c>
      <c r="C163" s="108">
        <f>IFERROR(lifespans_all!C161*DTE_mission_minutes!C5,"-")</f>
        <v>171572.29579277776</v>
      </c>
      <c r="D163" s="108">
        <f>IFERROR(lifespans_all!D161*DTE_mission_minutes!D5,"-")</f>
        <v>171572.29579277776</v>
      </c>
      <c r="E163" s="108">
        <f>IFERROR(lifespans_all!E161*DTE_mission_minutes!E5,"-")</f>
        <v>171572.29579277776</v>
      </c>
      <c r="F163" s="108">
        <f>IFERROR(lifespans_all!F161*DTE_mission_minutes!F5,"-")</f>
        <v>171572.29579277776</v>
      </c>
      <c r="G163" s="108">
        <f>IFERROR(lifespans_all!G161*DTE_mission_minutes!G5,"-")</f>
        <v>171572.29579277776</v>
      </c>
      <c r="H163" s="108">
        <f>IFERROR(lifespans_all!H161*DTE_mission_minutes!H5,"-")</f>
        <v>171572.29579277776</v>
      </c>
      <c r="I163" s="108">
        <f>IFERROR(lifespans_all!I161*DTE_mission_minutes!I5,"-")</f>
        <v>171572.29579277776</v>
      </c>
      <c r="J163" s="108">
        <f>IFERROR(lifespans_all!J161*DTE_mission_minutes!J5,"-")</f>
        <v>171572.29579277776</v>
      </c>
      <c r="K163" s="108">
        <f>IFERROR(lifespans_all!K161*DTE_mission_minutes!K5,"-")</f>
        <v>171572.29579277776</v>
      </c>
      <c r="L163" s="108">
        <f>IFERROR(lifespans_all!L161*DTE_mission_minutes!L5,"-")</f>
        <v>171572.29579277776</v>
      </c>
      <c r="M163" s="108">
        <f>IFERROR(lifespans_all!M161*DTE_mission_minutes!M5,"-")</f>
        <v>171572.29579277776</v>
      </c>
      <c r="N163" s="108">
        <f>IFERROR(lifespans_all!N161*DTE_mission_minutes!N5,"-")</f>
        <v>171572.29579277776</v>
      </c>
      <c r="O163" s="108">
        <f>IFERROR(lifespans_all!O161*DTE_mission_minutes!O5,"-")</f>
        <v>171572.29579277776</v>
      </c>
      <c r="P163" s="108">
        <f>IFERROR(lifespans_all!P161*DTE_mission_minutes!P5,"-")</f>
        <v>171572.29579277776</v>
      </c>
      <c r="Q163" s="108">
        <f>IFERROR(lifespans_all!Q161*DTE_mission_minutes!Q5,"-")</f>
        <v>171572.29579277776</v>
      </c>
      <c r="R163" s="108">
        <f>IFERROR(lifespans_all!R161*DTE_mission_minutes!R5,"-")</f>
        <v>171572.29579277776</v>
      </c>
      <c r="S163" s="108">
        <f>IFERROR(lifespans_all!S161*DTE_mission_minutes!S5,"-")</f>
        <v>171572.29579277776</v>
      </c>
      <c r="T163" s="108">
        <f>IFERROR(lifespans_all!T161*DTE_mission_minutes!T5,"-")</f>
        <v>171572.29579277776</v>
      </c>
      <c r="U163" s="108">
        <f>IFERROR(lifespans_all!U161*DTE_mission_minutes!U5,"-")</f>
        <v>171572.29579277776</v>
      </c>
      <c r="V163" s="108">
        <f>IFERROR(lifespans_all!V161*DTE_mission_minutes!V5,"-")</f>
        <v>171572.29579277776</v>
      </c>
    </row>
    <row r="164" spans="1:22" x14ac:dyDescent="0.25">
      <c r="A164" s="32" t="s">
        <v>51</v>
      </c>
      <c r="B164" s="40" t="s">
        <v>42</v>
      </c>
      <c r="C164" s="108">
        <f>IFERROR(lifespans_all!C162*DTE_mission_minutes!C6,"-")</f>
        <v>30.559216666666664</v>
      </c>
      <c r="D164" s="108">
        <f>IFERROR(lifespans_all!D162*DTE_mission_minutes!D6,"-")</f>
        <v>69.774163888888879</v>
      </c>
      <c r="E164" s="108">
        <f>IFERROR(lifespans_all!E162*DTE_mission_minutes!E6,"-")</f>
        <v>18.289311111111111</v>
      </c>
      <c r="F164" s="108">
        <f>IFERROR(lifespans_all!F162*DTE_mission_minutes!F6,"-")</f>
        <v>35.440637222222215</v>
      </c>
      <c r="G164" s="108">
        <f>IFERROR(lifespans_all!G162*DTE_mission_minutes!G6,"-")</f>
        <v>0</v>
      </c>
      <c r="H164" s="108">
        <f>IFERROR(lifespans_all!H162*DTE_mission_minutes!H6,"-")</f>
        <v>0</v>
      </c>
      <c r="I164" s="108">
        <f>IFERROR(lifespans_all!I162*DTE_mission_minutes!I6,"-")</f>
        <v>0</v>
      </c>
      <c r="J164" s="108">
        <f>IFERROR(lifespans_all!J162*DTE_mission_minutes!J6,"-")</f>
        <v>0</v>
      </c>
      <c r="K164" s="108">
        <f>IFERROR(lifespans_all!K162*DTE_mission_minutes!K6,"-")</f>
        <v>0</v>
      </c>
      <c r="L164" s="108">
        <f>IFERROR(lifespans_all!L162*DTE_mission_minutes!L6,"-")</f>
        <v>0</v>
      </c>
      <c r="M164" s="108">
        <f>IFERROR(lifespans_all!M162*DTE_mission_minutes!M6,"-")</f>
        <v>0</v>
      </c>
      <c r="N164" s="108">
        <f>IFERROR(lifespans_all!N162*DTE_mission_minutes!N6,"-")</f>
        <v>0</v>
      </c>
      <c r="O164" s="108">
        <f>IFERROR(lifespans_all!O162*DTE_mission_minutes!O6,"-")</f>
        <v>0</v>
      </c>
      <c r="P164" s="108">
        <f>IFERROR(lifespans_all!P162*DTE_mission_minutes!P6,"-")</f>
        <v>0</v>
      </c>
      <c r="Q164" s="108">
        <f>IFERROR(lifespans_all!Q162*DTE_mission_minutes!Q6,"-")</f>
        <v>0</v>
      </c>
      <c r="R164" s="108">
        <f>IFERROR(lifespans_all!R162*DTE_mission_minutes!R6,"-")</f>
        <v>0</v>
      </c>
      <c r="S164" s="108">
        <f>IFERROR(lifespans_all!S162*DTE_mission_minutes!S6,"-")</f>
        <v>0</v>
      </c>
      <c r="T164" s="108">
        <f>IFERROR(lifespans_all!T162*DTE_mission_minutes!T6,"-")</f>
        <v>0</v>
      </c>
      <c r="U164" s="108">
        <f>IFERROR(lifespans_all!U162*DTE_mission_minutes!U6,"-")</f>
        <v>0</v>
      </c>
      <c r="V164" s="108">
        <f>IFERROR(lifespans_all!V162*DTE_mission_minutes!V6,"-")</f>
        <v>0</v>
      </c>
    </row>
    <row r="165" spans="1:22" x14ac:dyDescent="0.25">
      <c r="A165" s="32" t="s">
        <v>52</v>
      </c>
      <c r="B165" s="33" t="s">
        <v>41</v>
      </c>
      <c r="C165" s="108">
        <f>IFERROR(lifespans_all!C163*DTE_mission_minutes!C7,"-")</f>
        <v>667.42555555555555</v>
      </c>
      <c r="D165" s="108">
        <f>IFERROR(lifespans_all!D163*DTE_mission_minutes!D7,"-")</f>
        <v>707.53916666666669</v>
      </c>
      <c r="E165" s="108">
        <f>IFERROR(lifespans_all!E163*DTE_mission_minutes!E7,"-")</f>
        <v>608.43833333333339</v>
      </c>
      <c r="F165" s="108">
        <f>IFERROR(lifespans_all!F163*DTE_mission_minutes!F7,"-")</f>
        <v>671.11811111111115</v>
      </c>
      <c r="G165" s="108">
        <f>IFERROR(lifespans_all!G163*DTE_mission_minutes!G7,"-")</f>
        <v>671.11811111111115</v>
      </c>
      <c r="H165" s="108">
        <f>IFERROR(lifespans_all!H163*DTE_mission_minutes!H7,"-")</f>
        <v>671.11811111111115</v>
      </c>
      <c r="I165" s="108">
        <f>IFERROR(lifespans_all!I163*DTE_mission_minutes!I7,"-")</f>
        <v>0</v>
      </c>
      <c r="J165" s="108">
        <f>IFERROR(lifespans_all!J163*DTE_mission_minutes!J7,"-")</f>
        <v>0</v>
      </c>
      <c r="K165" s="108">
        <f>IFERROR(lifespans_all!K163*DTE_mission_minutes!K7,"-")</f>
        <v>0</v>
      </c>
      <c r="L165" s="108">
        <f>IFERROR(lifespans_all!L163*DTE_mission_minutes!L7,"-")</f>
        <v>0</v>
      </c>
      <c r="M165" s="108">
        <f>IFERROR(lifespans_all!M163*DTE_mission_minutes!M7,"-")</f>
        <v>0</v>
      </c>
      <c r="N165" s="108">
        <f>IFERROR(lifespans_all!N163*DTE_mission_minutes!N7,"-")</f>
        <v>0</v>
      </c>
      <c r="O165" s="108">
        <f>IFERROR(lifespans_all!O163*DTE_mission_minutes!O7,"-")</f>
        <v>0</v>
      </c>
      <c r="P165" s="108">
        <f>IFERROR(lifespans_all!P163*DTE_mission_minutes!P7,"-")</f>
        <v>0</v>
      </c>
      <c r="Q165" s="108">
        <f>IFERROR(lifespans_all!Q163*DTE_mission_minutes!Q7,"-")</f>
        <v>0</v>
      </c>
      <c r="R165" s="108">
        <f>IFERROR(lifespans_all!R163*DTE_mission_minutes!R7,"-")</f>
        <v>0</v>
      </c>
      <c r="S165" s="108">
        <f>IFERROR(lifespans_all!S163*DTE_mission_minutes!S7,"-")</f>
        <v>0</v>
      </c>
      <c r="T165" s="108">
        <f>IFERROR(lifespans_all!T163*DTE_mission_minutes!T7,"-")</f>
        <v>0</v>
      </c>
      <c r="U165" s="108">
        <f>IFERROR(lifespans_all!U163*DTE_mission_minutes!U7,"-")</f>
        <v>0</v>
      </c>
      <c r="V165" s="108">
        <f>IFERROR(lifespans_all!V163*DTE_mission_minutes!V7,"-")</f>
        <v>0</v>
      </c>
    </row>
    <row r="166" spans="1:22" x14ac:dyDescent="0.25">
      <c r="A166" s="32" t="s">
        <v>18</v>
      </c>
      <c r="B166" s="41" t="s">
        <v>48</v>
      </c>
      <c r="C166" s="108">
        <f>IFERROR(lifespans_all!C164*DTE_mission_minutes!C8,"-")</f>
        <v>508.14004722222222</v>
      </c>
      <c r="D166" s="108">
        <f>IFERROR(lifespans_all!D164*DTE_mission_minutes!D8,"-")</f>
        <v>377.5913888888889</v>
      </c>
      <c r="E166" s="108">
        <f>IFERROR(lifespans_all!E164*DTE_mission_minutes!E8,"-")</f>
        <v>307.24861111111113</v>
      </c>
      <c r="F166" s="108">
        <f>IFERROR(lifespans_all!F164*DTE_mission_minutes!F8,"-")</f>
        <v>392.20349666666669</v>
      </c>
      <c r="G166" s="108">
        <f>IFERROR(lifespans_all!G164*DTE_mission_minutes!G8,"-")</f>
        <v>392.20349666666669</v>
      </c>
      <c r="H166" s="108">
        <f>IFERROR(lifespans_all!H164*DTE_mission_minutes!H8,"-")</f>
        <v>392.20349666666669</v>
      </c>
      <c r="I166" s="108">
        <f>IFERROR(lifespans_all!I164*DTE_mission_minutes!I8,"-")</f>
        <v>392.20349666666669</v>
      </c>
      <c r="J166" s="108">
        <f>IFERROR(lifespans_all!J164*DTE_mission_minutes!J8,"-")</f>
        <v>392.20349666666669</v>
      </c>
      <c r="K166" s="108">
        <f>IFERROR(lifespans_all!K164*DTE_mission_minutes!K8,"-")</f>
        <v>392.20349666666669</v>
      </c>
      <c r="L166" s="108">
        <f>IFERROR(lifespans_all!L164*DTE_mission_minutes!L8,"-")</f>
        <v>392.20349666666669</v>
      </c>
      <c r="M166" s="108">
        <f>IFERROR(lifespans_all!M164*DTE_mission_minutes!M8,"-")</f>
        <v>392.20349666666669</v>
      </c>
      <c r="N166" s="108">
        <f>IFERROR(lifespans_all!N164*DTE_mission_minutes!N8,"-")</f>
        <v>392.20349666666669</v>
      </c>
      <c r="O166" s="108">
        <f>IFERROR(lifespans_all!O164*DTE_mission_minutes!O8,"-")</f>
        <v>392.20349666666669</v>
      </c>
      <c r="P166" s="108">
        <f>IFERROR(lifespans_all!P164*DTE_mission_minutes!P8,"-")</f>
        <v>392.20349666666669</v>
      </c>
      <c r="Q166" s="108">
        <f>IFERROR(lifespans_all!Q164*DTE_mission_minutes!Q8,"-")</f>
        <v>392.20349666666669</v>
      </c>
      <c r="R166" s="108">
        <f>IFERROR(lifespans_all!R164*DTE_mission_minutes!R8,"-")</f>
        <v>392.20349666666669</v>
      </c>
      <c r="S166" s="108">
        <f>IFERROR(lifespans_all!S164*DTE_mission_minutes!S8,"-")</f>
        <v>392.20349666666669</v>
      </c>
      <c r="T166" s="108">
        <f>IFERROR(lifespans_all!T164*DTE_mission_minutes!T8,"-")</f>
        <v>392.20349666666669</v>
      </c>
      <c r="U166" s="108">
        <f>IFERROR(lifespans_all!U164*DTE_mission_minutes!U8,"-")</f>
        <v>392.20349666666669</v>
      </c>
      <c r="V166" s="108">
        <f>IFERROR(lifespans_all!V164*DTE_mission_minutes!V8,"-")</f>
        <v>392.20349666666669</v>
      </c>
    </row>
    <row r="167" spans="1:22" x14ac:dyDescent="0.25">
      <c r="A167" s="32" t="s">
        <v>53</v>
      </c>
      <c r="B167" s="33" t="s">
        <v>41</v>
      </c>
      <c r="C167" s="108">
        <f>IFERROR(lifespans_all!C165*DTE_mission_minutes!C9,"-")</f>
        <v>0</v>
      </c>
      <c r="D167" s="108">
        <f>IFERROR(lifespans_all!D165*DTE_mission_minutes!D9,"-")</f>
        <v>0</v>
      </c>
      <c r="E167" s="108">
        <f>IFERROR(lifespans_all!E165*DTE_mission_minutes!E9,"-")</f>
        <v>0</v>
      </c>
      <c r="F167" s="108">
        <f>IFERROR(lifespans_all!F165*DTE_mission_minutes!F9,"-")</f>
        <v>0</v>
      </c>
      <c r="G167" s="108">
        <f>IFERROR(lifespans_all!G165*DTE_mission_minutes!G9,"-")</f>
        <v>0</v>
      </c>
      <c r="H167" s="108">
        <f>IFERROR(lifespans_all!H165*DTE_mission_minutes!H9,"-")</f>
        <v>0</v>
      </c>
      <c r="I167" s="108">
        <f>IFERROR(lifespans_all!I165*DTE_mission_minutes!I9,"-")</f>
        <v>0</v>
      </c>
      <c r="J167" s="108">
        <f>IFERROR(lifespans_all!J165*DTE_mission_minutes!J9,"-")</f>
        <v>0</v>
      </c>
      <c r="K167" s="108">
        <f>IFERROR(lifespans_all!K165*DTE_mission_minutes!K9,"-")</f>
        <v>0</v>
      </c>
      <c r="L167" s="108">
        <f>IFERROR(lifespans_all!L165*DTE_mission_minutes!L9,"-")</f>
        <v>0</v>
      </c>
      <c r="M167" s="108">
        <f>IFERROR(lifespans_all!M165*DTE_mission_minutes!M9,"-")</f>
        <v>0</v>
      </c>
      <c r="N167" s="108">
        <f>IFERROR(lifespans_all!N165*DTE_mission_minutes!N9,"-")</f>
        <v>0</v>
      </c>
      <c r="O167" s="108">
        <f>IFERROR(lifespans_all!O165*DTE_mission_minutes!O9,"-")</f>
        <v>0</v>
      </c>
      <c r="P167" s="108">
        <f>IFERROR(lifespans_all!P165*DTE_mission_minutes!P9,"-")</f>
        <v>0</v>
      </c>
      <c r="Q167" s="108">
        <f>IFERROR(lifespans_all!Q165*DTE_mission_minutes!Q9,"-")</f>
        <v>0</v>
      </c>
      <c r="R167" s="108">
        <f>IFERROR(lifespans_all!R165*DTE_mission_minutes!R9,"-")</f>
        <v>0</v>
      </c>
      <c r="S167" s="108">
        <f>IFERROR(lifespans_all!S165*DTE_mission_minutes!S9,"-")</f>
        <v>0</v>
      </c>
      <c r="T167" s="108">
        <f>IFERROR(lifespans_all!T165*DTE_mission_minutes!T9,"-")</f>
        <v>0</v>
      </c>
      <c r="U167" s="108">
        <f>IFERROR(lifespans_all!U165*DTE_mission_minutes!U9,"-")</f>
        <v>0</v>
      </c>
      <c r="V167" s="108">
        <f>IFERROR(lifespans_all!V165*DTE_mission_minutes!V9,"-")</f>
        <v>0</v>
      </c>
    </row>
    <row r="168" spans="1:22" x14ac:dyDescent="0.25">
      <c r="A168" s="32" t="s">
        <v>54</v>
      </c>
      <c r="B168" s="40" t="s">
        <v>43</v>
      </c>
      <c r="C168" s="108">
        <f>IFERROR(lifespans_all!C166*DTE_mission_minutes!C10,"-")</f>
        <v>1178.5658305555555</v>
      </c>
      <c r="D168" s="108">
        <f>IFERROR(lifespans_all!D166*DTE_mission_minutes!D10,"-")</f>
        <v>779.39891388888896</v>
      </c>
      <c r="E168" s="108">
        <f>IFERROR(lifespans_all!E166*DTE_mission_minutes!E10,"-")</f>
        <v>4.2386111111111111</v>
      </c>
      <c r="F168" s="108">
        <f>IFERROR(lifespans_all!F166*DTE_mission_minutes!F10,"-")</f>
        <v>871.54136999999992</v>
      </c>
      <c r="G168" s="108">
        <f>IFERROR(lifespans_all!G166*DTE_mission_minutes!G10,"-")</f>
        <v>871.54136999999992</v>
      </c>
      <c r="H168" s="108">
        <f>IFERROR(lifespans_all!H166*DTE_mission_minutes!H10,"-")</f>
        <v>871.54136999999992</v>
      </c>
      <c r="I168" s="108">
        <f>IFERROR(lifespans_all!I166*DTE_mission_minutes!I10,"-")</f>
        <v>871.54136999999992</v>
      </c>
      <c r="J168" s="108">
        <f>IFERROR(lifespans_all!J166*DTE_mission_minutes!J10,"-")</f>
        <v>871.54136999999992</v>
      </c>
      <c r="K168" s="108">
        <f>IFERROR(lifespans_all!K166*DTE_mission_minutes!K10,"-")</f>
        <v>871.54136999999992</v>
      </c>
      <c r="L168" s="108">
        <f>IFERROR(lifespans_all!L166*DTE_mission_minutes!L10,"-")</f>
        <v>871.54136999999992</v>
      </c>
      <c r="M168" s="108">
        <f>IFERROR(lifespans_all!M166*DTE_mission_minutes!M10,"-")</f>
        <v>0</v>
      </c>
      <c r="N168" s="108">
        <f>IFERROR(lifespans_all!N166*DTE_mission_minutes!N10,"-")</f>
        <v>0</v>
      </c>
      <c r="O168" s="108">
        <f>IFERROR(lifespans_all!O166*DTE_mission_minutes!O10,"-")</f>
        <v>0</v>
      </c>
      <c r="P168" s="108">
        <f>IFERROR(lifespans_all!P166*DTE_mission_minutes!P10,"-")</f>
        <v>0</v>
      </c>
      <c r="Q168" s="108">
        <f>IFERROR(lifespans_all!Q166*DTE_mission_minutes!Q10,"-")</f>
        <v>0</v>
      </c>
      <c r="R168" s="108">
        <f>IFERROR(lifespans_all!R166*DTE_mission_minutes!R10,"-")</f>
        <v>0</v>
      </c>
      <c r="S168" s="108">
        <f>IFERROR(lifespans_all!S166*DTE_mission_minutes!S10,"-")</f>
        <v>0</v>
      </c>
      <c r="T168" s="108">
        <f>IFERROR(lifespans_all!T166*DTE_mission_minutes!T10,"-")</f>
        <v>0</v>
      </c>
      <c r="U168" s="108">
        <f>IFERROR(lifespans_all!U166*DTE_mission_minutes!U10,"-")</f>
        <v>0</v>
      </c>
      <c r="V168" s="108">
        <f>IFERROR(lifespans_all!V166*DTE_mission_minutes!V10,"-")</f>
        <v>0</v>
      </c>
    </row>
    <row r="169" spans="1:22" x14ac:dyDescent="0.25">
      <c r="A169" s="32" t="s">
        <v>55</v>
      </c>
      <c r="B169" s="40" t="s">
        <v>42</v>
      </c>
      <c r="C169" s="108">
        <f>IFERROR(lifespans_all!C167*DTE_mission_minutes!C11,"-")</f>
        <v>721.11352444444435</v>
      </c>
      <c r="D169" s="108">
        <f>IFERROR(lifespans_all!D167*DTE_mission_minutes!D11,"-")</f>
        <v>721.11352444444435</v>
      </c>
      <c r="E169" s="108">
        <f>IFERROR(lifespans_all!E167*DTE_mission_minutes!E11,"-")</f>
        <v>721.11352444444435</v>
      </c>
      <c r="F169" s="108">
        <f>IFERROR(lifespans_all!F167*DTE_mission_minutes!F11,"-")</f>
        <v>721.11352444444435</v>
      </c>
      <c r="G169" s="108">
        <f>IFERROR(lifespans_all!G167*DTE_mission_minutes!G11,"-")</f>
        <v>721.11352444444435</v>
      </c>
      <c r="H169" s="108">
        <f>IFERROR(lifespans_all!H167*DTE_mission_minutes!H11,"-")</f>
        <v>721.11352444444435</v>
      </c>
      <c r="I169" s="108">
        <f>IFERROR(lifespans_all!I167*DTE_mission_minutes!I11,"-")</f>
        <v>721.11352444444435</v>
      </c>
      <c r="J169" s="108">
        <f>IFERROR(lifespans_all!J167*DTE_mission_minutes!J11,"-")</f>
        <v>721.11352444444435</v>
      </c>
      <c r="K169" s="108">
        <f>IFERROR(lifespans_all!K167*DTE_mission_minutes!K11,"-")</f>
        <v>721.11352444444435</v>
      </c>
      <c r="L169" s="108">
        <f>IFERROR(lifespans_all!L167*DTE_mission_minutes!L11,"-")</f>
        <v>721.11352444444435</v>
      </c>
      <c r="M169" s="108">
        <f>IFERROR(lifespans_all!M167*DTE_mission_minutes!M11,"-")</f>
        <v>721.11352444444435</v>
      </c>
      <c r="N169" s="108">
        <f>IFERROR(lifespans_all!N167*DTE_mission_minutes!N11,"-")</f>
        <v>721.11352444444435</v>
      </c>
      <c r="O169" s="108">
        <f>IFERROR(lifespans_all!O167*DTE_mission_minutes!O11,"-")</f>
        <v>721.11352444444435</v>
      </c>
      <c r="P169" s="108">
        <f>IFERROR(lifespans_all!P167*DTE_mission_minutes!P11,"-")</f>
        <v>721.11352444444435</v>
      </c>
      <c r="Q169" s="108">
        <f>IFERROR(lifespans_all!Q167*DTE_mission_minutes!Q11,"-")</f>
        <v>721.11352444444435</v>
      </c>
      <c r="R169" s="108">
        <f>IFERROR(lifespans_all!R167*DTE_mission_minutes!R11,"-")</f>
        <v>721.11352444444435</v>
      </c>
      <c r="S169" s="108">
        <f>IFERROR(lifespans_all!S167*DTE_mission_minutes!S11,"-")</f>
        <v>721.11352444444435</v>
      </c>
      <c r="T169" s="108">
        <f>IFERROR(lifespans_all!T167*DTE_mission_minutes!T11,"-")</f>
        <v>721.11352444444435</v>
      </c>
      <c r="U169" s="108">
        <f>IFERROR(lifespans_all!U167*DTE_mission_minutes!U11,"-")</f>
        <v>721.11352444444435</v>
      </c>
      <c r="V169" s="108">
        <f>IFERROR(lifespans_all!V167*DTE_mission_minutes!V11,"-")</f>
        <v>721.11352444444435</v>
      </c>
    </row>
    <row r="170" spans="1:22" x14ac:dyDescent="0.25">
      <c r="A170" s="32" t="s">
        <v>56</v>
      </c>
      <c r="B170" s="39" t="s">
        <v>43</v>
      </c>
      <c r="C170" s="108">
        <f>IFERROR(lifespans_all!C168*DTE_mission_minutes!C12,"-")</f>
        <v>171572.29579277776</v>
      </c>
      <c r="D170" s="108">
        <f>IFERROR(lifespans_all!D168*DTE_mission_minutes!D12,"-")</f>
        <v>171572.29579277776</v>
      </c>
      <c r="E170" s="108">
        <f>IFERROR(lifespans_all!E168*DTE_mission_minutes!E12,"-")</f>
        <v>171572.29579277776</v>
      </c>
      <c r="F170" s="108">
        <f>IFERROR(lifespans_all!F168*DTE_mission_minutes!F12,"-")</f>
        <v>171572.29579277776</v>
      </c>
      <c r="G170" s="108">
        <f>IFERROR(lifespans_all!G168*DTE_mission_minutes!G12,"-")</f>
        <v>171572.29579277776</v>
      </c>
      <c r="H170" s="108">
        <f>IFERROR(lifespans_all!H168*DTE_mission_minutes!H12,"-")</f>
        <v>171572.29579277776</v>
      </c>
      <c r="I170" s="108">
        <f>IFERROR(lifespans_all!I168*DTE_mission_minutes!I12,"-")</f>
        <v>171572.29579277776</v>
      </c>
      <c r="J170" s="108">
        <f>IFERROR(lifespans_all!J168*DTE_mission_minutes!J12,"-")</f>
        <v>171572.29579277776</v>
      </c>
      <c r="K170" s="108">
        <f>IFERROR(lifespans_all!K168*DTE_mission_minutes!K12,"-")</f>
        <v>171572.29579277776</v>
      </c>
      <c r="L170" s="108">
        <f>IFERROR(lifespans_all!L168*DTE_mission_minutes!L12,"-")</f>
        <v>171572.29579277776</v>
      </c>
      <c r="M170" s="108">
        <f>IFERROR(lifespans_all!M168*DTE_mission_minutes!M12,"-")</f>
        <v>171572.29579277776</v>
      </c>
      <c r="N170" s="108">
        <f>IFERROR(lifespans_all!N168*DTE_mission_minutes!N12,"-")</f>
        <v>171572.29579277776</v>
      </c>
      <c r="O170" s="108">
        <f>IFERROR(lifespans_all!O168*DTE_mission_minutes!O12,"-")</f>
        <v>171572.29579277776</v>
      </c>
      <c r="P170" s="108">
        <f>IFERROR(lifespans_all!P168*DTE_mission_minutes!P12,"-")</f>
        <v>171572.29579277776</v>
      </c>
      <c r="Q170" s="108">
        <f>IFERROR(lifespans_all!Q168*DTE_mission_minutes!Q12,"-")</f>
        <v>171572.29579277776</v>
      </c>
      <c r="R170" s="108">
        <f>IFERROR(lifespans_all!R168*DTE_mission_minutes!R12,"-")</f>
        <v>171572.29579277776</v>
      </c>
      <c r="S170" s="108">
        <f>IFERROR(lifespans_all!S168*DTE_mission_minutes!S12,"-")</f>
        <v>171572.29579277776</v>
      </c>
      <c r="T170" s="108">
        <f>IFERROR(lifespans_all!T168*DTE_mission_minutes!T12,"-")</f>
        <v>171572.29579277776</v>
      </c>
      <c r="U170" s="108">
        <f>IFERROR(lifespans_all!U168*DTE_mission_minutes!U12,"-")</f>
        <v>171572.29579277776</v>
      </c>
      <c r="V170" s="108">
        <f>IFERROR(lifespans_all!V168*DTE_mission_minutes!V12,"-")</f>
        <v>171572.29579277776</v>
      </c>
    </row>
    <row r="171" spans="1:22" x14ac:dyDescent="0.25">
      <c r="A171" s="32" t="s">
        <v>66</v>
      </c>
      <c r="B171" s="41" t="s">
        <v>48</v>
      </c>
      <c r="C171" s="108" t="str">
        <f>IFERROR(lifespans_all!C169*DTE_mission_minutes!C13,"-")</f>
        <v>-</v>
      </c>
      <c r="D171" s="108" t="str">
        <f>IFERROR(lifespans_all!D169*DTE_mission_minutes!D13,"-")</f>
        <v>-</v>
      </c>
      <c r="E171" s="108" t="str">
        <f>IFERROR(lifespans_all!E169*DTE_mission_minutes!E13,"-")</f>
        <v>-</v>
      </c>
      <c r="F171" s="108" t="str">
        <f>IFERROR(lifespans_all!F169*DTE_mission_minutes!F13,"-")</f>
        <v>-</v>
      </c>
      <c r="G171" s="108" t="str">
        <f>IFERROR(lifespans_all!G169*DTE_mission_minutes!G13,"-")</f>
        <v>-</v>
      </c>
      <c r="H171" s="108" t="str">
        <f>IFERROR(lifespans_all!H169*DTE_mission_minutes!H13,"-")</f>
        <v>-</v>
      </c>
      <c r="I171" s="108" t="str">
        <f>IFERROR(lifespans_all!I169*DTE_mission_minutes!I13,"-")</f>
        <v>-</v>
      </c>
      <c r="J171" s="108" t="str">
        <f>IFERROR(lifespans_all!J169*DTE_mission_minutes!J13,"-")</f>
        <v>-</v>
      </c>
      <c r="K171" s="108" t="str">
        <f>IFERROR(lifespans_all!K169*DTE_mission_minutes!K13,"-")</f>
        <v>-</v>
      </c>
      <c r="L171" s="108" t="str">
        <f>IFERROR(lifespans_all!L169*DTE_mission_minutes!L13,"-")</f>
        <v>-</v>
      </c>
      <c r="M171" s="108" t="str">
        <f>IFERROR(lifespans_all!M169*DTE_mission_minutes!M13,"-")</f>
        <v>-</v>
      </c>
      <c r="N171" s="108" t="str">
        <f>IFERROR(lifespans_all!N169*DTE_mission_minutes!N13,"-")</f>
        <v>-</v>
      </c>
      <c r="O171" s="108" t="str">
        <f>IFERROR(lifespans_all!O169*DTE_mission_minutes!O13,"-")</f>
        <v>-</v>
      </c>
      <c r="P171" s="108" t="str">
        <f>IFERROR(lifespans_all!P169*DTE_mission_minutes!P13,"-")</f>
        <v>-</v>
      </c>
      <c r="Q171" s="108" t="str">
        <f>IFERROR(lifespans_all!Q169*DTE_mission_minutes!Q13,"-")</f>
        <v>-</v>
      </c>
      <c r="R171" s="108" t="str">
        <f>IFERROR(lifespans_all!R169*DTE_mission_minutes!R13,"-")</f>
        <v>-</v>
      </c>
      <c r="S171" s="108" t="str">
        <f>IFERROR(lifespans_all!S169*DTE_mission_minutes!S13,"-")</f>
        <v>-</v>
      </c>
      <c r="T171" s="108" t="str">
        <f>IFERROR(lifespans_all!T169*DTE_mission_minutes!T13,"-")</f>
        <v>-</v>
      </c>
      <c r="U171" s="108" t="str">
        <f>IFERROR(lifespans_all!U169*DTE_mission_minutes!U13,"-")</f>
        <v>-</v>
      </c>
      <c r="V171" s="108" t="str">
        <f>IFERROR(lifespans_all!V169*DTE_mission_minutes!V13,"-")</f>
        <v>-</v>
      </c>
    </row>
    <row r="172" spans="1:22" x14ac:dyDescent="0.25">
      <c r="A172" s="32" t="s">
        <v>19</v>
      </c>
      <c r="B172" s="33" t="s">
        <v>41</v>
      </c>
      <c r="C172" s="108">
        <f>IFERROR(lifespans_all!C170*DTE_mission_minutes!C14,"-")</f>
        <v>851.36055555555549</v>
      </c>
      <c r="D172" s="108">
        <f>IFERROR(lifespans_all!D170*DTE_mission_minutes!D14,"-")</f>
        <v>921.41561944444436</v>
      </c>
      <c r="E172" s="108">
        <f>IFERROR(lifespans_all!E170*DTE_mission_minutes!E14,"-")</f>
        <v>793.34499999999991</v>
      </c>
      <c r="F172" s="108">
        <f>IFERROR(lifespans_all!F170*DTE_mission_minutes!F14,"-")</f>
        <v>796.60534611111109</v>
      </c>
      <c r="G172" s="108">
        <f>IFERROR(lifespans_all!G170*DTE_mission_minutes!G14,"-")</f>
        <v>796.60534611111109</v>
      </c>
      <c r="H172" s="108">
        <f>IFERROR(lifespans_all!H170*DTE_mission_minutes!H14,"-")</f>
        <v>796.60534611111109</v>
      </c>
      <c r="I172" s="108">
        <f>IFERROR(lifespans_all!I170*DTE_mission_minutes!I14,"-")</f>
        <v>796.60534611111109</v>
      </c>
      <c r="J172" s="108">
        <f>IFERROR(lifespans_all!J170*DTE_mission_minutes!J14,"-")</f>
        <v>0</v>
      </c>
      <c r="K172" s="108">
        <f>IFERROR(lifespans_all!K170*DTE_mission_minutes!K14,"-")</f>
        <v>0</v>
      </c>
      <c r="L172" s="108">
        <f>IFERROR(lifespans_all!L170*DTE_mission_minutes!L14,"-")</f>
        <v>0</v>
      </c>
      <c r="M172" s="108">
        <f>IFERROR(lifespans_all!M170*DTE_mission_minutes!M14,"-")</f>
        <v>0</v>
      </c>
      <c r="N172" s="108">
        <f>IFERROR(lifespans_all!N170*DTE_mission_minutes!N14,"-")</f>
        <v>0</v>
      </c>
      <c r="O172" s="108">
        <f>IFERROR(lifespans_all!O170*DTE_mission_minutes!O14,"-")</f>
        <v>0</v>
      </c>
      <c r="P172" s="108">
        <f>IFERROR(lifespans_all!P170*DTE_mission_minutes!P14,"-")</f>
        <v>0</v>
      </c>
      <c r="Q172" s="108">
        <f>IFERROR(lifespans_all!Q170*DTE_mission_minutes!Q14,"-")</f>
        <v>0</v>
      </c>
      <c r="R172" s="108">
        <f>IFERROR(lifespans_all!R170*DTE_mission_minutes!R14,"-")</f>
        <v>0</v>
      </c>
      <c r="S172" s="108">
        <f>IFERROR(lifespans_all!S170*DTE_mission_minutes!S14,"-")</f>
        <v>0</v>
      </c>
      <c r="T172" s="108">
        <f>IFERROR(lifespans_all!T170*DTE_mission_minutes!T14,"-")</f>
        <v>0</v>
      </c>
      <c r="U172" s="108">
        <f>IFERROR(lifespans_all!U170*DTE_mission_minutes!U14,"-")</f>
        <v>0</v>
      </c>
      <c r="V172" s="108">
        <f>IFERROR(lifespans_all!V170*DTE_mission_minutes!V14,"-")</f>
        <v>0</v>
      </c>
    </row>
    <row r="173" spans="1:22" x14ac:dyDescent="0.25">
      <c r="A173" s="44" t="s">
        <v>67</v>
      </c>
      <c r="B173" s="33" t="s">
        <v>40</v>
      </c>
      <c r="C173" s="108">
        <f>IFERROR(lifespans_all!C171*DTE_mission_minutes!C15,"-")</f>
        <v>2140.4341038095235</v>
      </c>
      <c r="D173" s="108">
        <f>IFERROR(lifespans_all!D171*DTE_mission_minutes!D15,"-")</f>
        <v>2140.4341038095235</v>
      </c>
      <c r="E173" s="108">
        <f>IFERROR(lifespans_all!E171*DTE_mission_minutes!E15,"-")</f>
        <v>2140.4341038095235</v>
      </c>
      <c r="F173" s="108">
        <f>IFERROR(lifespans_all!F171*DTE_mission_minutes!F15,"-")</f>
        <v>2140.4341038095235</v>
      </c>
      <c r="G173" s="108">
        <f>IFERROR(lifespans_all!G171*DTE_mission_minutes!G15,"-")</f>
        <v>2140.4341038095235</v>
      </c>
      <c r="H173" s="108">
        <f>IFERROR(lifespans_all!H171*DTE_mission_minutes!H15,"-")</f>
        <v>2140.4341038095235</v>
      </c>
      <c r="I173" s="108">
        <f>IFERROR(lifespans_all!I171*DTE_mission_minutes!I15,"-")</f>
        <v>2140.4341038095235</v>
      </c>
      <c r="J173" s="108">
        <f>IFERROR(lifespans_all!J171*DTE_mission_minutes!J15,"-")</f>
        <v>2140.4341038095235</v>
      </c>
      <c r="K173" s="108">
        <f>IFERROR(lifespans_all!K171*DTE_mission_minutes!K15,"-")</f>
        <v>2140.4341038095235</v>
      </c>
      <c r="L173" s="108">
        <f>IFERROR(lifespans_all!L171*DTE_mission_minutes!L15,"-")</f>
        <v>2140.4341038095235</v>
      </c>
      <c r="M173" s="108">
        <f>IFERROR(lifespans_all!M171*DTE_mission_minutes!M15,"-")</f>
        <v>2140.4341038095235</v>
      </c>
      <c r="N173" s="108">
        <f>IFERROR(lifespans_all!N171*DTE_mission_minutes!N15,"-")</f>
        <v>2140.4341038095235</v>
      </c>
      <c r="O173" s="108">
        <f>IFERROR(lifespans_all!O171*DTE_mission_minutes!O15,"-")</f>
        <v>2140.4341038095235</v>
      </c>
      <c r="P173" s="108">
        <f>IFERROR(lifespans_all!P171*DTE_mission_minutes!P15,"-")</f>
        <v>2140.4341038095235</v>
      </c>
      <c r="Q173" s="108">
        <f>IFERROR(lifespans_all!Q171*DTE_mission_minutes!Q15,"-")</f>
        <v>2140.4341038095235</v>
      </c>
      <c r="R173" s="108">
        <f>IFERROR(lifespans_all!R171*DTE_mission_minutes!R15,"-")</f>
        <v>2140.4341038095235</v>
      </c>
      <c r="S173" s="108">
        <f>IFERROR(lifespans_all!S171*DTE_mission_minutes!S15,"-")</f>
        <v>2140.4341038095235</v>
      </c>
      <c r="T173" s="108">
        <f>IFERROR(lifespans_all!T171*DTE_mission_minutes!T15,"-")</f>
        <v>2140.4341038095235</v>
      </c>
      <c r="U173" s="108">
        <f>IFERROR(lifespans_all!U171*DTE_mission_minutes!U15,"-")</f>
        <v>2140.4341038095235</v>
      </c>
      <c r="V173" s="108">
        <f>IFERROR(lifespans_all!V171*DTE_mission_minutes!V15,"-")</f>
        <v>2140.4341038095235</v>
      </c>
    </row>
    <row r="174" spans="1:22" x14ac:dyDescent="0.25">
      <c r="A174" s="44" t="s">
        <v>68</v>
      </c>
      <c r="B174" s="33" t="s">
        <v>40</v>
      </c>
      <c r="C174" s="108">
        <f>IFERROR(lifespans_all!C172*DTE_mission_minutes!C16,"-")</f>
        <v>2140.4341038095235</v>
      </c>
      <c r="D174" s="108">
        <f>IFERROR(lifespans_all!D172*DTE_mission_minutes!D16,"-")</f>
        <v>2140.4341038095235</v>
      </c>
      <c r="E174" s="108">
        <f>IFERROR(lifespans_all!E172*DTE_mission_minutes!E16,"-")</f>
        <v>2140.4341038095235</v>
      </c>
      <c r="F174" s="108">
        <f>IFERROR(lifespans_all!F172*DTE_mission_minutes!F16,"-")</f>
        <v>2140.4341038095235</v>
      </c>
      <c r="G174" s="108">
        <f>IFERROR(lifespans_all!G172*DTE_mission_minutes!G16,"-")</f>
        <v>2140.4341038095235</v>
      </c>
      <c r="H174" s="108">
        <f>IFERROR(lifespans_all!H172*DTE_mission_minutes!H16,"-")</f>
        <v>2140.4341038095235</v>
      </c>
      <c r="I174" s="108">
        <f>IFERROR(lifespans_all!I172*DTE_mission_minutes!I16,"-")</f>
        <v>2140.4341038095235</v>
      </c>
      <c r="J174" s="108">
        <f>IFERROR(lifespans_all!J172*DTE_mission_minutes!J16,"-")</f>
        <v>2140.4341038095235</v>
      </c>
      <c r="K174" s="108">
        <f>IFERROR(lifespans_all!K172*DTE_mission_minutes!K16,"-")</f>
        <v>2140.4341038095235</v>
      </c>
      <c r="L174" s="108">
        <f>IFERROR(lifespans_all!L172*DTE_mission_minutes!L16,"-")</f>
        <v>2140.4341038095235</v>
      </c>
      <c r="M174" s="108">
        <f>IFERROR(lifespans_all!M172*DTE_mission_minutes!M16,"-")</f>
        <v>2140.4341038095235</v>
      </c>
      <c r="N174" s="108">
        <f>IFERROR(lifespans_all!N172*DTE_mission_minutes!N16,"-")</f>
        <v>2140.4341038095235</v>
      </c>
      <c r="O174" s="108">
        <f>IFERROR(lifespans_all!O172*DTE_mission_minutes!O16,"-")</f>
        <v>2140.4341038095235</v>
      </c>
      <c r="P174" s="108">
        <f>IFERROR(lifespans_all!P172*DTE_mission_minutes!P16,"-")</f>
        <v>2140.4341038095235</v>
      </c>
      <c r="Q174" s="108">
        <f>IFERROR(lifespans_all!Q172*DTE_mission_minutes!Q16,"-")</f>
        <v>2140.4341038095235</v>
      </c>
      <c r="R174" s="108">
        <f>IFERROR(lifespans_all!R172*DTE_mission_minutes!R16,"-")</f>
        <v>2140.4341038095235</v>
      </c>
      <c r="S174" s="108">
        <f>IFERROR(lifespans_all!S172*DTE_mission_minutes!S16,"-")</f>
        <v>2140.4341038095235</v>
      </c>
      <c r="T174" s="108">
        <f>IFERROR(lifespans_all!T172*DTE_mission_minutes!T16,"-")</f>
        <v>2140.4341038095235</v>
      </c>
      <c r="U174" s="108">
        <f>IFERROR(lifespans_all!U172*DTE_mission_minutes!U16,"-")</f>
        <v>2140.4341038095235</v>
      </c>
      <c r="V174" s="108">
        <f>IFERROR(lifespans_all!V172*DTE_mission_minutes!V16,"-")</f>
        <v>2140.4341038095235</v>
      </c>
    </row>
    <row r="175" spans="1:22" x14ac:dyDescent="0.25">
      <c r="A175" s="44" t="s">
        <v>69</v>
      </c>
      <c r="B175" s="33" t="s">
        <v>40</v>
      </c>
      <c r="C175" s="108">
        <f>IFERROR(lifespans_all!C173*DTE_mission_minutes!C17,"-")</f>
        <v>2140.4341038095235</v>
      </c>
      <c r="D175" s="108">
        <f>IFERROR(lifespans_all!D173*DTE_mission_minutes!D17,"-")</f>
        <v>2140.4341038095235</v>
      </c>
      <c r="E175" s="108">
        <f>IFERROR(lifespans_all!E173*DTE_mission_minutes!E17,"-")</f>
        <v>2140.4341038095235</v>
      </c>
      <c r="F175" s="108">
        <f>IFERROR(lifespans_all!F173*DTE_mission_minutes!F17,"-")</f>
        <v>2140.4341038095235</v>
      </c>
      <c r="G175" s="108">
        <f>IFERROR(lifespans_all!G173*DTE_mission_minutes!G17,"-")</f>
        <v>2140.4341038095235</v>
      </c>
      <c r="H175" s="108">
        <f>IFERROR(lifespans_all!H173*DTE_mission_minutes!H17,"-")</f>
        <v>2140.4341038095235</v>
      </c>
      <c r="I175" s="108">
        <f>IFERROR(lifespans_all!I173*DTE_mission_minutes!I17,"-")</f>
        <v>2140.4341038095235</v>
      </c>
      <c r="J175" s="108">
        <f>IFERROR(lifespans_all!J173*DTE_mission_minutes!J17,"-")</f>
        <v>2140.4341038095235</v>
      </c>
      <c r="K175" s="108">
        <f>IFERROR(lifespans_all!K173*DTE_mission_minutes!K17,"-")</f>
        <v>2140.4341038095235</v>
      </c>
      <c r="L175" s="108">
        <f>IFERROR(lifespans_all!L173*DTE_mission_minutes!L17,"-")</f>
        <v>2140.4341038095235</v>
      </c>
      <c r="M175" s="108">
        <f>IFERROR(lifespans_all!M173*DTE_mission_minutes!M17,"-")</f>
        <v>2140.4341038095235</v>
      </c>
      <c r="N175" s="108">
        <f>IFERROR(lifespans_all!N173*DTE_mission_minutes!N17,"-")</f>
        <v>2140.4341038095235</v>
      </c>
      <c r="O175" s="108">
        <f>IFERROR(lifespans_all!O173*DTE_mission_minutes!O17,"-")</f>
        <v>2140.4341038095235</v>
      </c>
      <c r="P175" s="108">
        <f>IFERROR(lifespans_all!P173*DTE_mission_minutes!P17,"-")</f>
        <v>2140.4341038095235</v>
      </c>
      <c r="Q175" s="108">
        <f>IFERROR(lifespans_all!Q173*DTE_mission_minutes!Q17,"-")</f>
        <v>2140.4341038095235</v>
      </c>
      <c r="R175" s="108">
        <f>IFERROR(lifespans_all!R173*DTE_mission_minutes!R17,"-")</f>
        <v>2140.4341038095235</v>
      </c>
      <c r="S175" s="108">
        <f>IFERROR(lifespans_all!S173*DTE_mission_minutes!S17,"-")</f>
        <v>2140.4341038095235</v>
      </c>
      <c r="T175" s="108">
        <f>IFERROR(lifespans_all!T173*DTE_mission_minutes!T17,"-")</f>
        <v>2140.4341038095235</v>
      </c>
      <c r="U175" s="108">
        <f>IFERROR(lifespans_all!U173*DTE_mission_minutes!U17,"-")</f>
        <v>2140.4341038095235</v>
      </c>
      <c r="V175" s="108">
        <f>IFERROR(lifespans_all!V173*DTE_mission_minutes!V17,"-")</f>
        <v>2140.4341038095235</v>
      </c>
    </row>
    <row r="176" spans="1:22" x14ac:dyDescent="0.25">
      <c r="A176" s="44" t="s">
        <v>70</v>
      </c>
      <c r="B176" s="33" t="s">
        <v>40</v>
      </c>
      <c r="C176" s="108">
        <f>IFERROR(lifespans_all!C174*DTE_mission_minutes!C18,"-")</f>
        <v>2140.4341038095235</v>
      </c>
      <c r="D176" s="108">
        <f>IFERROR(lifespans_all!D174*DTE_mission_minutes!D18,"-")</f>
        <v>2140.4341038095235</v>
      </c>
      <c r="E176" s="108">
        <f>IFERROR(lifespans_all!E174*DTE_mission_minutes!E18,"-")</f>
        <v>2140.4341038095235</v>
      </c>
      <c r="F176" s="108">
        <f>IFERROR(lifespans_all!F174*DTE_mission_minutes!F18,"-")</f>
        <v>2140.4341038095235</v>
      </c>
      <c r="G176" s="108">
        <f>IFERROR(lifespans_all!G174*DTE_mission_minutes!G18,"-")</f>
        <v>2140.4341038095235</v>
      </c>
      <c r="H176" s="108">
        <f>IFERROR(lifespans_all!H174*DTE_mission_minutes!H18,"-")</f>
        <v>2140.4341038095235</v>
      </c>
      <c r="I176" s="108">
        <f>IFERROR(lifespans_all!I174*DTE_mission_minutes!I18,"-")</f>
        <v>2140.4341038095235</v>
      </c>
      <c r="J176" s="108">
        <f>IFERROR(lifespans_all!J174*DTE_mission_minutes!J18,"-")</f>
        <v>2140.4341038095235</v>
      </c>
      <c r="K176" s="108">
        <f>IFERROR(lifespans_all!K174*DTE_mission_minutes!K18,"-")</f>
        <v>2140.4341038095235</v>
      </c>
      <c r="L176" s="108">
        <f>IFERROR(lifespans_all!L174*DTE_mission_minutes!L18,"-")</f>
        <v>2140.4341038095235</v>
      </c>
      <c r="M176" s="108">
        <f>IFERROR(lifespans_all!M174*DTE_mission_minutes!M18,"-")</f>
        <v>2140.4341038095235</v>
      </c>
      <c r="N176" s="108">
        <f>IFERROR(lifespans_all!N174*DTE_mission_minutes!N18,"-")</f>
        <v>2140.4341038095235</v>
      </c>
      <c r="O176" s="108">
        <f>IFERROR(lifespans_all!O174*DTE_mission_minutes!O18,"-")</f>
        <v>2140.4341038095235</v>
      </c>
      <c r="P176" s="108">
        <f>IFERROR(lifespans_all!P174*DTE_mission_minutes!P18,"-")</f>
        <v>2140.4341038095235</v>
      </c>
      <c r="Q176" s="108">
        <f>IFERROR(lifespans_all!Q174*DTE_mission_minutes!Q18,"-")</f>
        <v>2140.4341038095235</v>
      </c>
      <c r="R176" s="108">
        <f>IFERROR(lifespans_all!R174*DTE_mission_minutes!R18,"-")</f>
        <v>2140.4341038095235</v>
      </c>
      <c r="S176" s="108">
        <f>IFERROR(lifespans_all!S174*DTE_mission_minutes!S18,"-")</f>
        <v>2140.4341038095235</v>
      </c>
      <c r="T176" s="108">
        <f>IFERROR(lifespans_all!T174*DTE_mission_minutes!T18,"-")</f>
        <v>2140.4341038095235</v>
      </c>
      <c r="U176" s="108">
        <f>IFERROR(lifespans_all!U174*DTE_mission_minutes!U18,"-")</f>
        <v>2140.4341038095235</v>
      </c>
      <c r="V176" s="108">
        <f>IFERROR(lifespans_all!V174*DTE_mission_minutes!V18,"-")</f>
        <v>2140.4341038095235</v>
      </c>
    </row>
    <row r="177" spans="1:22" x14ac:dyDescent="0.25">
      <c r="A177" s="32" t="s">
        <v>20</v>
      </c>
      <c r="B177" s="33" t="s">
        <v>41</v>
      </c>
      <c r="C177" s="108">
        <f>IFERROR(lifespans_all!C175*DTE_mission_minutes!C19,"-")</f>
        <v>3121.1464916666664</v>
      </c>
      <c r="D177" s="108">
        <f>IFERROR(lifespans_all!D175*DTE_mission_minutes!D19,"-")</f>
        <v>3157.8943527777778</v>
      </c>
      <c r="E177" s="108">
        <f>IFERROR(lifespans_all!E175*DTE_mission_minutes!E19,"-")</f>
        <v>2937.5030555555554</v>
      </c>
      <c r="F177" s="108">
        <f>IFERROR(lifespans_all!F175*DTE_mission_minutes!F19,"-")</f>
        <v>3137.9728877777775</v>
      </c>
      <c r="G177" s="108">
        <f>IFERROR(lifespans_all!G175*DTE_mission_minutes!G19,"-")</f>
        <v>3137.9728877777775</v>
      </c>
      <c r="H177" s="108">
        <f>IFERROR(lifespans_all!H175*DTE_mission_minutes!H19,"-")</f>
        <v>3137.9728877777775</v>
      </c>
      <c r="I177" s="108">
        <f>IFERROR(lifespans_all!I175*DTE_mission_minutes!I19,"-")</f>
        <v>3137.9728877777775</v>
      </c>
      <c r="J177" s="108">
        <f>IFERROR(lifespans_all!J175*DTE_mission_minutes!J19,"-")</f>
        <v>3137.9728877777775</v>
      </c>
      <c r="K177" s="108">
        <f>IFERROR(lifespans_all!K175*DTE_mission_minutes!K19,"-")</f>
        <v>3137.9728877777775</v>
      </c>
      <c r="L177" s="108">
        <f>IFERROR(lifespans_all!L175*DTE_mission_minutes!L19,"-")</f>
        <v>3137.9728877777775</v>
      </c>
      <c r="M177" s="108">
        <f>IFERROR(lifespans_all!M175*DTE_mission_minutes!M19,"-")</f>
        <v>3137.9728877777775</v>
      </c>
      <c r="N177" s="108">
        <f>IFERROR(lifespans_all!N175*DTE_mission_minutes!N19,"-")</f>
        <v>3137.9728877777775</v>
      </c>
      <c r="O177" s="108">
        <f>IFERROR(lifespans_all!O175*DTE_mission_minutes!O19,"-")</f>
        <v>3137.9728877777775</v>
      </c>
      <c r="P177" s="108">
        <f>IFERROR(lifespans_all!P175*DTE_mission_minutes!P19,"-")</f>
        <v>3137.9728877777775</v>
      </c>
      <c r="Q177" s="108">
        <f>IFERROR(lifespans_all!Q175*DTE_mission_minutes!Q19,"-")</f>
        <v>3137.9728877777775</v>
      </c>
      <c r="R177" s="108">
        <f>IFERROR(lifespans_all!R175*DTE_mission_minutes!R19,"-")</f>
        <v>3137.9728877777775</v>
      </c>
      <c r="S177" s="108">
        <f>IFERROR(lifespans_all!S175*DTE_mission_minutes!S19,"-")</f>
        <v>3137.9728877777775</v>
      </c>
      <c r="T177" s="108">
        <f>IFERROR(lifespans_all!T175*DTE_mission_minutes!T19,"-")</f>
        <v>3137.9728877777775</v>
      </c>
      <c r="U177" s="108">
        <f>IFERROR(lifespans_all!U175*DTE_mission_minutes!U19,"-")</f>
        <v>3137.9728877777775</v>
      </c>
      <c r="V177" s="108">
        <f>IFERROR(lifespans_all!V175*DTE_mission_minutes!V19,"-")</f>
        <v>3137.9728877777775</v>
      </c>
    </row>
    <row r="178" spans="1:22" x14ac:dyDescent="0.25">
      <c r="A178" s="32" t="s">
        <v>21</v>
      </c>
      <c r="B178" s="33" t="s">
        <v>41</v>
      </c>
      <c r="C178" s="108">
        <f>IFERROR(lifespans_all!C176*DTE_mission_minutes!C20,"-")</f>
        <v>3653.0924999999997</v>
      </c>
      <c r="D178" s="108">
        <f>IFERROR(lifespans_all!D176*DTE_mission_minutes!D20,"-")</f>
        <v>3468.0533333333337</v>
      </c>
      <c r="E178" s="108">
        <f>IFERROR(lifespans_all!E176*DTE_mission_minutes!E20,"-")</f>
        <v>3224.0014777777778</v>
      </c>
      <c r="F178" s="108">
        <f>IFERROR(lifespans_all!F176*DTE_mission_minutes!F20,"-")</f>
        <v>3454.7784394444448</v>
      </c>
      <c r="G178" s="108">
        <f>IFERROR(lifespans_all!G176*DTE_mission_minutes!G20,"-")</f>
        <v>3454.7784394444448</v>
      </c>
      <c r="H178" s="108">
        <f>IFERROR(lifespans_all!H176*DTE_mission_minutes!H20,"-")</f>
        <v>0</v>
      </c>
      <c r="I178" s="108">
        <f>IFERROR(lifespans_all!I176*DTE_mission_minutes!I20,"-")</f>
        <v>0</v>
      </c>
      <c r="J178" s="108">
        <f>IFERROR(lifespans_all!J176*DTE_mission_minutes!J20,"-")</f>
        <v>0</v>
      </c>
      <c r="K178" s="108">
        <f>IFERROR(lifespans_all!K176*DTE_mission_minutes!K20,"-")</f>
        <v>0</v>
      </c>
      <c r="L178" s="108">
        <f>IFERROR(lifespans_all!L176*DTE_mission_minutes!L20,"-")</f>
        <v>0</v>
      </c>
      <c r="M178" s="108">
        <f>IFERROR(lifespans_all!M176*DTE_mission_minutes!M20,"-")</f>
        <v>0</v>
      </c>
      <c r="N178" s="108">
        <f>IFERROR(lifespans_all!N176*DTE_mission_minutes!N20,"-")</f>
        <v>0</v>
      </c>
      <c r="O178" s="108">
        <f>IFERROR(lifespans_all!O176*DTE_mission_minutes!O20,"-")</f>
        <v>0</v>
      </c>
      <c r="P178" s="108">
        <f>IFERROR(lifespans_all!P176*DTE_mission_minutes!P20,"-")</f>
        <v>0</v>
      </c>
      <c r="Q178" s="108">
        <f>IFERROR(lifespans_all!Q176*DTE_mission_minutes!Q20,"-")</f>
        <v>0</v>
      </c>
      <c r="R178" s="108">
        <f>IFERROR(lifespans_all!R176*DTE_mission_minutes!R20,"-")</f>
        <v>0</v>
      </c>
      <c r="S178" s="108">
        <f>IFERROR(lifespans_all!S176*DTE_mission_minutes!S20,"-")</f>
        <v>0</v>
      </c>
      <c r="T178" s="108">
        <f>IFERROR(lifespans_all!T176*DTE_mission_minutes!T20,"-")</f>
        <v>0</v>
      </c>
      <c r="U178" s="108">
        <f>IFERROR(lifespans_all!U176*DTE_mission_minutes!U20,"-")</f>
        <v>0</v>
      </c>
      <c r="V178" s="108">
        <f>IFERROR(lifespans_all!V176*DTE_mission_minutes!V20,"-")</f>
        <v>0</v>
      </c>
    </row>
    <row r="179" spans="1:22" x14ac:dyDescent="0.25">
      <c r="A179" s="32" t="s">
        <v>24</v>
      </c>
      <c r="B179" s="45" t="s">
        <v>42</v>
      </c>
      <c r="C179" s="108">
        <f>IFERROR(lifespans_all!C177*DTE_mission_minutes!C21,"-")</f>
        <v>0</v>
      </c>
      <c r="D179" s="108">
        <f>IFERROR(lifespans_all!D177*DTE_mission_minutes!D21,"-")</f>
        <v>0</v>
      </c>
      <c r="E179" s="108">
        <f>IFERROR(lifespans_all!E177*DTE_mission_minutes!E21,"-")</f>
        <v>0</v>
      </c>
      <c r="F179" s="108">
        <f>IFERROR(lifespans_all!F177*DTE_mission_minutes!F21,"-")</f>
        <v>0</v>
      </c>
      <c r="G179" s="108">
        <f>IFERROR(lifespans_all!G177*DTE_mission_minutes!G21,"-")</f>
        <v>0</v>
      </c>
      <c r="H179" s="108">
        <f>IFERROR(lifespans_all!H177*DTE_mission_minutes!H21,"-")</f>
        <v>0</v>
      </c>
      <c r="I179" s="108">
        <f>IFERROR(lifespans_all!I177*DTE_mission_minutes!I21,"-")</f>
        <v>0</v>
      </c>
      <c r="J179" s="108">
        <f>IFERROR(lifespans_all!J177*DTE_mission_minutes!J21,"-")</f>
        <v>0</v>
      </c>
      <c r="K179" s="108">
        <f>IFERROR(lifespans_all!K177*DTE_mission_minutes!K21,"-")</f>
        <v>0</v>
      </c>
      <c r="L179" s="108">
        <f>IFERROR(lifespans_all!L177*DTE_mission_minutes!L21,"-")</f>
        <v>0</v>
      </c>
      <c r="M179" s="108">
        <f>IFERROR(lifespans_all!M177*DTE_mission_minutes!M21,"-")</f>
        <v>0</v>
      </c>
      <c r="N179" s="108">
        <f>IFERROR(lifespans_all!N177*DTE_mission_minutes!N21,"-")</f>
        <v>0</v>
      </c>
      <c r="O179" s="108">
        <f>IFERROR(lifespans_all!O177*DTE_mission_minutes!O21,"-")</f>
        <v>0</v>
      </c>
      <c r="P179" s="108">
        <f>IFERROR(lifespans_all!P177*DTE_mission_minutes!P21,"-")</f>
        <v>0</v>
      </c>
      <c r="Q179" s="108">
        <f>IFERROR(lifespans_all!Q177*DTE_mission_minutes!Q21,"-")</f>
        <v>0</v>
      </c>
      <c r="R179" s="108">
        <f>IFERROR(lifespans_all!R177*DTE_mission_minutes!R21,"-")</f>
        <v>0</v>
      </c>
      <c r="S179" s="108">
        <f>IFERROR(lifespans_all!S177*DTE_mission_minutes!S21,"-")</f>
        <v>0</v>
      </c>
      <c r="T179" s="108">
        <f>IFERROR(lifespans_all!T177*DTE_mission_minutes!T21,"-")</f>
        <v>0</v>
      </c>
      <c r="U179" s="108">
        <f>IFERROR(lifespans_all!U177*DTE_mission_minutes!U21,"-")</f>
        <v>0</v>
      </c>
      <c r="V179" s="108">
        <f>IFERROR(lifespans_all!V177*DTE_mission_minutes!V21,"-")</f>
        <v>0</v>
      </c>
    </row>
    <row r="180" spans="1:22" x14ac:dyDescent="0.25">
      <c r="A180" s="32" t="s">
        <v>57</v>
      </c>
      <c r="B180" s="33" t="s">
        <v>41</v>
      </c>
      <c r="C180" s="108">
        <f>IFERROR(lifespans_all!C178*DTE_mission_minutes!C22,"-")</f>
        <v>133409.35004928565</v>
      </c>
      <c r="D180" s="108">
        <f>IFERROR(lifespans_all!D178*DTE_mission_minutes!D22,"-")</f>
        <v>133409.35004928565</v>
      </c>
      <c r="E180" s="108">
        <f>IFERROR(lifespans_all!E178*DTE_mission_minutes!E22,"-")</f>
        <v>133409.35004928565</v>
      </c>
      <c r="F180" s="108">
        <f>IFERROR(lifespans_all!F178*DTE_mission_minutes!F22,"-")</f>
        <v>133409.35004928565</v>
      </c>
      <c r="G180" s="108">
        <f>IFERROR(lifespans_all!G178*DTE_mission_minutes!G22,"-")</f>
        <v>133409.35004928565</v>
      </c>
      <c r="H180" s="108">
        <f>IFERROR(lifespans_all!H178*DTE_mission_minutes!H22,"-")</f>
        <v>0</v>
      </c>
      <c r="I180" s="108">
        <f>IFERROR(lifespans_all!I178*DTE_mission_minutes!I22,"-")</f>
        <v>0</v>
      </c>
      <c r="J180" s="108">
        <f>IFERROR(lifespans_all!J178*DTE_mission_minutes!J22,"-")</f>
        <v>0</v>
      </c>
      <c r="K180" s="108">
        <f>IFERROR(lifespans_all!K178*DTE_mission_minutes!K22,"-")</f>
        <v>0</v>
      </c>
      <c r="L180" s="108">
        <f>IFERROR(lifespans_all!L178*DTE_mission_minutes!L22,"-")</f>
        <v>0</v>
      </c>
      <c r="M180" s="108">
        <f>IFERROR(lifespans_all!M178*DTE_mission_minutes!M22,"-")</f>
        <v>0</v>
      </c>
      <c r="N180" s="108">
        <f>IFERROR(lifespans_all!N178*DTE_mission_minutes!N22,"-")</f>
        <v>0</v>
      </c>
      <c r="O180" s="108">
        <f>IFERROR(lifespans_all!O178*DTE_mission_minutes!O22,"-")</f>
        <v>0</v>
      </c>
      <c r="P180" s="108">
        <f>IFERROR(lifespans_all!P178*DTE_mission_minutes!P22,"-")</f>
        <v>0</v>
      </c>
      <c r="Q180" s="108">
        <f>IFERROR(lifespans_all!Q178*DTE_mission_minutes!Q22,"-")</f>
        <v>0</v>
      </c>
      <c r="R180" s="108">
        <f>IFERROR(lifespans_all!R178*DTE_mission_minutes!R22,"-")</f>
        <v>0</v>
      </c>
      <c r="S180" s="108">
        <f>IFERROR(lifespans_all!S178*DTE_mission_minutes!S22,"-")</f>
        <v>0</v>
      </c>
      <c r="T180" s="108">
        <f>IFERROR(lifespans_all!T178*DTE_mission_minutes!T22,"-")</f>
        <v>0</v>
      </c>
      <c r="U180" s="108">
        <f>IFERROR(lifespans_all!U178*DTE_mission_minutes!U22,"-")</f>
        <v>0</v>
      </c>
      <c r="V180" s="108">
        <f>IFERROR(lifespans_all!V178*DTE_mission_minutes!V22,"-")</f>
        <v>0</v>
      </c>
    </row>
    <row r="181" spans="1:22" x14ac:dyDescent="0.25">
      <c r="A181" s="32" t="s">
        <v>22</v>
      </c>
      <c r="B181" s="33" t="s">
        <v>41</v>
      </c>
      <c r="C181" s="108">
        <f>IFERROR(lifespans_all!C179*DTE_mission_minutes!C23,"-")</f>
        <v>21.986611111111113</v>
      </c>
      <c r="D181" s="108">
        <f>IFERROR(lifespans_all!D179*DTE_mission_minutes!D23,"-")</f>
        <v>1.1333333333333333</v>
      </c>
      <c r="E181" s="108">
        <f>IFERROR(lifespans_all!E179*DTE_mission_minutes!E23,"-")</f>
        <v>3.7333333333333334</v>
      </c>
      <c r="F181" s="108">
        <f>IFERROR(lifespans_all!F179*DTE_mission_minutes!F23,"-")</f>
        <v>23.303841111111115</v>
      </c>
      <c r="G181" s="108">
        <f>IFERROR(lifespans_all!G179*DTE_mission_minutes!G23,"-")</f>
        <v>0</v>
      </c>
      <c r="H181" s="108">
        <f>IFERROR(lifespans_all!H179*DTE_mission_minutes!H23,"-")</f>
        <v>0</v>
      </c>
      <c r="I181" s="108">
        <f>IFERROR(lifespans_all!I179*DTE_mission_minutes!I23,"-")</f>
        <v>0</v>
      </c>
      <c r="J181" s="108">
        <f>IFERROR(lifespans_all!J179*DTE_mission_minutes!J23,"-")</f>
        <v>0</v>
      </c>
      <c r="K181" s="108">
        <f>IFERROR(lifespans_all!K179*DTE_mission_minutes!K23,"-")</f>
        <v>0</v>
      </c>
      <c r="L181" s="108">
        <f>IFERROR(lifespans_all!L179*DTE_mission_minutes!L23,"-")</f>
        <v>0</v>
      </c>
      <c r="M181" s="108">
        <f>IFERROR(lifespans_all!M179*DTE_mission_minutes!M23,"-")</f>
        <v>0</v>
      </c>
      <c r="N181" s="108">
        <f>IFERROR(lifespans_all!N179*DTE_mission_minutes!N23,"-")</f>
        <v>0</v>
      </c>
      <c r="O181" s="108">
        <f>IFERROR(lifespans_all!O179*DTE_mission_minutes!O23,"-")</f>
        <v>0</v>
      </c>
      <c r="P181" s="108">
        <f>IFERROR(lifespans_all!P179*DTE_mission_minutes!P23,"-")</f>
        <v>0</v>
      </c>
      <c r="Q181" s="108">
        <f>IFERROR(lifespans_all!Q179*DTE_mission_minutes!Q23,"-")</f>
        <v>0</v>
      </c>
      <c r="R181" s="108">
        <f>IFERROR(lifespans_all!R179*DTE_mission_minutes!R23,"-")</f>
        <v>0</v>
      </c>
      <c r="S181" s="108">
        <f>IFERROR(lifespans_all!S179*DTE_mission_minutes!S23,"-")</f>
        <v>0</v>
      </c>
      <c r="T181" s="108">
        <f>IFERROR(lifespans_all!T179*DTE_mission_minutes!T23,"-")</f>
        <v>0</v>
      </c>
      <c r="U181" s="108">
        <f>IFERROR(lifespans_all!U179*DTE_mission_minutes!U23,"-")</f>
        <v>0</v>
      </c>
      <c r="V181" s="108">
        <f>IFERROR(lifespans_all!V179*DTE_mission_minutes!V23,"-")</f>
        <v>0</v>
      </c>
    </row>
    <row r="182" spans="1:22" x14ac:dyDescent="0.25">
      <c r="A182" s="103" t="s">
        <v>23</v>
      </c>
      <c r="B182" s="104" t="s">
        <v>43</v>
      </c>
      <c r="C182" s="108">
        <f>IFERROR(lifespans_all!C180*DTE_mission_minutes!C24,"-")</f>
        <v>7757.52</v>
      </c>
      <c r="D182" s="108">
        <f>IFERROR(lifespans_all!D180*DTE_mission_minutes!D24,"-")</f>
        <v>7884.0724999999993</v>
      </c>
      <c r="E182" s="108">
        <f>IFERROR(lifespans_all!E180*DTE_mission_minutes!E24,"-")</f>
        <v>7411.0455555555554</v>
      </c>
      <c r="F182" s="108">
        <f>IFERROR(lifespans_all!F180*DTE_mission_minutes!F24,"-")</f>
        <v>7749.4853583333334</v>
      </c>
      <c r="G182" s="108">
        <f>IFERROR(lifespans_all!G180*DTE_mission_minutes!G24,"-")</f>
        <v>7749.4853583333334</v>
      </c>
      <c r="H182" s="108">
        <f>IFERROR(lifespans_all!H180*DTE_mission_minutes!H24,"-")</f>
        <v>7749.4853583333334</v>
      </c>
      <c r="I182" s="108">
        <f>IFERROR(lifespans_all!I180*DTE_mission_minutes!I24,"-")</f>
        <v>7749.4853583333334</v>
      </c>
      <c r="J182" s="108">
        <f>IFERROR(lifespans_all!J180*DTE_mission_minutes!J24,"-")</f>
        <v>7749.4853583333334</v>
      </c>
      <c r="K182" s="108">
        <f>IFERROR(lifespans_all!K180*DTE_mission_minutes!K24,"-")</f>
        <v>7749.4853583333334</v>
      </c>
      <c r="L182" s="108">
        <f>IFERROR(lifespans_all!L180*DTE_mission_minutes!L24,"-")</f>
        <v>7749.4853583333334</v>
      </c>
      <c r="M182" s="108">
        <f>IFERROR(lifespans_all!M180*DTE_mission_minutes!M24,"-")</f>
        <v>0</v>
      </c>
      <c r="N182" s="108">
        <f>IFERROR(lifespans_all!N180*DTE_mission_minutes!N24,"-")</f>
        <v>0</v>
      </c>
      <c r="O182" s="108">
        <f>IFERROR(lifespans_all!O180*DTE_mission_minutes!O24,"-")</f>
        <v>0</v>
      </c>
      <c r="P182" s="108">
        <f>IFERROR(lifespans_all!P180*DTE_mission_minutes!P24,"-")</f>
        <v>0</v>
      </c>
      <c r="Q182" s="108">
        <f>IFERROR(lifespans_all!Q180*DTE_mission_minutes!Q24,"-")</f>
        <v>0</v>
      </c>
      <c r="R182" s="108">
        <f>IFERROR(lifespans_all!R180*DTE_mission_minutes!R24,"-")</f>
        <v>0</v>
      </c>
      <c r="S182" s="108">
        <f>IFERROR(lifespans_all!S180*DTE_mission_minutes!S24,"-")</f>
        <v>0</v>
      </c>
      <c r="T182" s="108">
        <f>IFERROR(lifespans_all!T180*DTE_mission_minutes!T24,"-")</f>
        <v>0</v>
      </c>
      <c r="U182" s="108">
        <f>IFERROR(lifespans_all!U180*DTE_mission_minutes!U24,"-")</f>
        <v>0</v>
      </c>
      <c r="V182" s="108">
        <f>IFERROR(lifespans_all!V180*DTE_mission_minutes!V24,"-")</f>
        <v>0</v>
      </c>
    </row>
    <row r="183" spans="1:22" x14ac:dyDescent="0.25">
      <c r="A183" s="32" t="s">
        <v>25</v>
      </c>
      <c r="B183" s="33" t="s">
        <v>44</v>
      </c>
      <c r="C183" s="108">
        <f>IFERROR(lifespans_all!C181*DTE_mission_minutes!C25,"-")</f>
        <v>0</v>
      </c>
      <c r="D183" s="108">
        <f>IFERROR(lifespans_all!D181*DTE_mission_minutes!D25,"-")</f>
        <v>0</v>
      </c>
      <c r="E183" s="108">
        <f>IFERROR(lifespans_all!E181*DTE_mission_minutes!E25,"-")</f>
        <v>0</v>
      </c>
      <c r="F183" s="108">
        <f>IFERROR(lifespans_all!F181*DTE_mission_minutes!F25,"-")</f>
        <v>0</v>
      </c>
      <c r="G183" s="108">
        <f>IFERROR(lifespans_all!G181*DTE_mission_minutes!G25,"-")</f>
        <v>0</v>
      </c>
      <c r="H183" s="108">
        <f>IFERROR(lifespans_all!H181*DTE_mission_minutes!H25,"-")</f>
        <v>0</v>
      </c>
      <c r="I183" s="108">
        <f>IFERROR(lifespans_all!I181*DTE_mission_minutes!I25,"-")</f>
        <v>0</v>
      </c>
      <c r="J183" s="108">
        <f>IFERROR(lifespans_all!J181*DTE_mission_minutes!J25,"-")</f>
        <v>0</v>
      </c>
      <c r="K183" s="108">
        <f>IFERROR(lifespans_all!K181*DTE_mission_minutes!K25,"-")</f>
        <v>0</v>
      </c>
      <c r="L183" s="108">
        <f>IFERROR(lifespans_all!L181*DTE_mission_minutes!L25,"-")</f>
        <v>0</v>
      </c>
      <c r="M183" s="108">
        <f>IFERROR(lifespans_all!M181*DTE_mission_minutes!M25,"-")</f>
        <v>0</v>
      </c>
      <c r="N183" s="108">
        <f>IFERROR(lifespans_all!N181*DTE_mission_minutes!N25,"-")</f>
        <v>0</v>
      </c>
      <c r="O183" s="108">
        <f>IFERROR(lifespans_all!O181*DTE_mission_minutes!O25,"-")</f>
        <v>0</v>
      </c>
      <c r="P183" s="108">
        <f>IFERROR(lifespans_all!P181*DTE_mission_minutes!P25,"-")</f>
        <v>0</v>
      </c>
      <c r="Q183" s="108">
        <f>IFERROR(lifespans_all!Q181*DTE_mission_minutes!Q25,"-")</f>
        <v>0</v>
      </c>
      <c r="R183" s="108">
        <f>IFERROR(lifespans_all!R181*DTE_mission_minutes!R25,"-")</f>
        <v>0</v>
      </c>
      <c r="S183" s="108">
        <f>IFERROR(lifespans_all!S181*DTE_mission_minutes!S25,"-")</f>
        <v>0</v>
      </c>
      <c r="T183" s="108">
        <f>IFERROR(lifespans_all!T181*DTE_mission_minutes!T25,"-")</f>
        <v>0</v>
      </c>
      <c r="U183" s="108">
        <f>IFERROR(lifespans_all!U181*DTE_mission_minutes!U25,"-")</f>
        <v>0</v>
      </c>
      <c r="V183" s="108">
        <f>IFERROR(lifespans_all!V181*DTE_mission_minutes!V25,"-")</f>
        <v>0</v>
      </c>
    </row>
    <row r="184" spans="1:22" x14ac:dyDescent="0.25">
      <c r="A184" s="32" t="s">
        <v>58</v>
      </c>
      <c r="B184" s="33" t="s">
        <v>41</v>
      </c>
      <c r="C184" s="108">
        <f>IFERROR(lifespans_all!C182*DTE_mission_minutes!C26,"-")</f>
        <v>133409.35004928565</v>
      </c>
      <c r="D184" s="108">
        <f>IFERROR(lifespans_all!D182*DTE_mission_minutes!D26,"-")</f>
        <v>0</v>
      </c>
      <c r="E184" s="108">
        <f>IFERROR(lifespans_all!E182*DTE_mission_minutes!E26,"-")</f>
        <v>0</v>
      </c>
      <c r="F184" s="108">
        <f>IFERROR(lifespans_all!F182*DTE_mission_minutes!F26,"-")</f>
        <v>0</v>
      </c>
      <c r="G184" s="108">
        <f>IFERROR(lifespans_all!G182*DTE_mission_minutes!G26,"-")</f>
        <v>0</v>
      </c>
      <c r="H184" s="108">
        <f>IFERROR(lifespans_all!H182*DTE_mission_minutes!H26,"-")</f>
        <v>0</v>
      </c>
      <c r="I184" s="108">
        <f>IFERROR(lifespans_all!I182*DTE_mission_minutes!I26,"-")</f>
        <v>0</v>
      </c>
      <c r="J184" s="108">
        <f>IFERROR(lifespans_all!J182*DTE_mission_minutes!J26,"-")</f>
        <v>0</v>
      </c>
      <c r="K184" s="108">
        <f>IFERROR(lifespans_all!K182*DTE_mission_minutes!K26,"-")</f>
        <v>0</v>
      </c>
      <c r="L184" s="108">
        <f>IFERROR(lifespans_all!L182*DTE_mission_minutes!L26,"-")</f>
        <v>0</v>
      </c>
      <c r="M184" s="108">
        <f>IFERROR(lifespans_all!M182*DTE_mission_minutes!M26,"-")</f>
        <v>0</v>
      </c>
      <c r="N184" s="108">
        <f>IFERROR(lifespans_all!N182*DTE_mission_minutes!N26,"-")</f>
        <v>0</v>
      </c>
      <c r="O184" s="108">
        <f>IFERROR(lifespans_all!O182*DTE_mission_minutes!O26,"-")</f>
        <v>0</v>
      </c>
      <c r="P184" s="108">
        <f>IFERROR(lifespans_all!P182*DTE_mission_minutes!P26,"-")</f>
        <v>0</v>
      </c>
      <c r="Q184" s="108">
        <f>IFERROR(lifespans_all!Q182*DTE_mission_minutes!Q26,"-")</f>
        <v>0</v>
      </c>
      <c r="R184" s="108">
        <f>IFERROR(lifespans_all!R182*DTE_mission_minutes!R26,"-")</f>
        <v>0</v>
      </c>
      <c r="S184" s="108">
        <f>IFERROR(lifespans_all!S182*DTE_mission_minutes!S26,"-")</f>
        <v>0</v>
      </c>
      <c r="T184" s="108">
        <f>IFERROR(lifespans_all!T182*DTE_mission_minutes!T26,"-")</f>
        <v>0</v>
      </c>
      <c r="U184" s="108">
        <f>IFERROR(lifespans_all!U182*DTE_mission_minutes!U26,"-")</f>
        <v>0</v>
      </c>
      <c r="V184" s="108">
        <f>IFERROR(lifespans_all!V182*DTE_mission_minutes!V26,"-")</f>
        <v>0</v>
      </c>
    </row>
    <row r="185" spans="1:22" x14ac:dyDescent="0.25">
      <c r="A185" s="32" t="s">
        <v>59</v>
      </c>
      <c r="B185" s="33" t="s">
        <v>41</v>
      </c>
      <c r="C185" s="108">
        <f>IFERROR(lifespans_all!C183*DTE_mission_minutes!C27,"-")</f>
        <v>133409.35004928565</v>
      </c>
      <c r="D185" s="108">
        <f>IFERROR(lifespans_all!D183*DTE_mission_minutes!D27,"-")</f>
        <v>133409.35004928565</v>
      </c>
      <c r="E185" s="108">
        <f>IFERROR(lifespans_all!E183*DTE_mission_minutes!E27,"-")</f>
        <v>133409.35004928565</v>
      </c>
      <c r="F185" s="108">
        <f>IFERROR(lifespans_all!F183*DTE_mission_minutes!F27,"-")</f>
        <v>0</v>
      </c>
      <c r="G185" s="108">
        <f>IFERROR(lifespans_all!G183*DTE_mission_minutes!G27,"-")</f>
        <v>0</v>
      </c>
      <c r="H185" s="108">
        <f>IFERROR(lifespans_all!H183*DTE_mission_minutes!H27,"-")</f>
        <v>0</v>
      </c>
      <c r="I185" s="108">
        <f>IFERROR(lifespans_all!I183*DTE_mission_minutes!I27,"-")</f>
        <v>0</v>
      </c>
      <c r="J185" s="108">
        <f>IFERROR(lifespans_all!J183*DTE_mission_minutes!J27,"-")</f>
        <v>0</v>
      </c>
      <c r="K185" s="108">
        <f>IFERROR(lifespans_all!K183*DTE_mission_minutes!K27,"-")</f>
        <v>0</v>
      </c>
      <c r="L185" s="108">
        <f>IFERROR(lifespans_all!L183*DTE_mission_minutes!L27,"-")</f>
        <v>0</v>
      </c>
      <c r="M185" s="108">
        <f>IFERROR(lifespans_all!M183*DTE_mission_minutes!M27,"-")</f>
        <v>0</v>
      </c>
      <c r="N185" s="108">
        <f>IFERROR(lifespans_all!N183*DTE_mission_minutes!N27,"-")</f>
        <v>0</v>
      </c>
      <c r="O185" s="108">
        <f>IFERROR(lifespans_all!O183*DTE_mission_minutes!O27,"-")</f>
        <v>0</v>
      </c>
      <c r="P185" s="108">
        <f>IFERROR(lifespans_all!P183*DTE_mission_minutes!P27,"-")</f>
        <v>0</v>
      </c>
      <c r="Q185" s="108">
        <f>IFERROR(lifespans_all!Q183*DTE_mission_minutes!Q27,"-")</f>
        <v>0</v>
      </c>
      <c r="R185" s="108">
        <f>IFERROR(lifespans_all!R183*DTE_mission_minutes!R27,"-")</f>
        <v>0</v>
      </c>
      <c r="S185" s="108">
        <f>IFERROR(lifespans_all!S183*DTE_mission_minutes!S27,"-")</f>
        <v>0</v>
      </c>
      <c r="T185" s="108">
        <f>IFERROR(lifespans_all!T183*DTE_mission_minutes!T27,"-")</f>
        <v>0</v>
      </c>
      <c r="U185" s="108">
        <f>IFERROR(lifespans_all!U183*DTE_mission_minutes!U27,"-")</f>
        <v>0</v>
      </c>
      <c r="V185" s="108">
        <f>IFERROR(lifespans_all!V183*DTE_mission_minutes!V27,"-")</f>
        <v>0</v>
      </c>
    </row>
    <row r="186" spans="1:22" x14ac:dyDescent="0.25">
      <c r="A186" s="32" t="s">
        <v>60</v>
      </c>
      <c r="B186" s="33" t="s">
        <v>41</v>
      </c>
      <c r="C186" s="108">
        <f>IFERROR(lifespans_all!C184*DTE_mission_minutes!C28,"-")</f>
        <v>133409.35004928565</v>
      </c>
      <c r="D186" s="108">
        <f>IFERROR(lifespans_all!D184*DTE_mission_minutes!D28,"-")</f>
        <v>133409.35004928565</v>
      </c>
      <c r="E186" s="108">
        <f>IFERROR(lifespans_all!E184*DTE_mission_minutes!E28,"-")</f>
        <v>133409.35004928565</v>
      </c>
      <c r="F186" s="108">
        <f>IFERROR(lifespans_all!F184*DTE_mission_minutes!F28,"-")</f>
        <v>133409.35004928565</v>
      </c>
      <c r="G186" s="108">
        <f>IFERROR(lifespans_all!G184*DTE_mission_minutes!G28,"-")</f>
        <v>133409.35004928565</v>
      </c>
      <c r="H186" s="108">
        <f>IFERROR(lifespans_all!H184*DTE_mission_minutes!H28,"-")</f>
        <v>133409.35004928565</v>
      </c>
      <c r="I186" s="108">
        <f>IFERROR(lifespans_all!I184*DTE_mission_minutes!I28,"-")</f>
        <v>0</v>
      </c>
      <c r="J186" s="108">
        <f>IFERROR(lifespans_all!J184*DTE_mission_minutes!J28,"-")</f>
        <v>0</v>
      </c>
      <c r="K186" s="108">
        <f>IFERROR(lifespans_all!K184*DTE_mission_minutes!K28,"-")</f>
        <v>0</v>
      </c>
      <c r="L186" s="108">
        <f>IFERROR(lifespans_all!L184*DTE_mission_minutes!L28,"-")</f>
        <v>0</v>
      </c>
      <c r="M186" s="108">
        <f>IFERROR(lifespans_all!M184*DTE_mission_minutes!M28,"-")</f>
        <v>0</v>
      </c>
      <c r="N186" s="108">
        <f>IFERROR(lifespans_all!N184*DTE_mission_minutes!N28,"-")</f>
        <v>0</v>
      </c>
      <c r="O186" s="108">
        <f>IFERROR(lifespans_all!O184*DTE_mission_minutes!O28,"-")</f>
        <v>0</v>
      </c>
      <c r="P186" s="108">
        <f>IFERROR(lifespans_all!P184*DTE_mission_minutes!P28,"-")</f>
        <v>0</v>
      </c>
      <c r="Q186" s="108">
        <f>IFERROR(lifespans_all!Q184*DTE_mission_minutes!Q28,"-")</f>
        <v>0</v>
      </c>
      <c r="R186" s="108">
        <f>IFERROR(lifespans_all!R184*DTE_mission_minutes!R28,"-")</f>
        <v>0</v>
      </c>
      <c r="S186" s="108">
        <f>IFERROR(lifespans_all!S184*DTE_mission_minutes!S28,"-")</f>
        <v>0</v>
      </c>
      <c r="T186" s="108">
        <f>IFERROR(lifespans_all!T184*DTE_mission_minutes!T28,"-")</f>
        <v>0</v>
      </c>
      <c r="U186" s="108">
        <f>IFERROR(lifespans_all!U184*DTE_mission_minutes!U28,"-")</f>
        <v>0</v>
      </c>
      <c r="V186" s="108">
        <f>IFERROR(lifespans_all!V184*DTE_mission_minutes!V28,"-")</f>
        <v>0</v>
      </c>
    </row>
    <row r="187" spans="1:22" x14ac:dyDescent="0.25">
      <c r="A187" s="32" t="s">
        <v>26</v>
      </c>
      <c r="B187" s="40" t="s">
        <v>45</v>
      </c>
      <c r="C187" s="108">
        <f>IFERROR(lifespans_all!C185*DTE_mission_minutes!C29,"-")</f>
        <v>89453.837836666688</v>
      </c>
      <c r="D187" s="108">
        <f>IFERROR(lifespans_all!D185*DTE_mission_minutes!D29,"-")</f>
        <v>89453.837836666688</v>
      </c>
      <c r="E187" s="108">
        <f>IFERROR(lifespans_all!E185*DTE_mission_minutes!E29,"-")</f>
        <v>89453.837836666688</v>
      </c>
      <c r="F187" s="108">
        <f>IFERROR(lifespans_all!F185*DTE_mission_minutes!F29,"-")</f>
        <v>89453.837836666688</v>
      </c>
      <c r="G187" s="108">
        <f>IFERROR(lifespans_all!G185*DTE_mission_minutes!G29,"-")</f>
        <v>89453.837836666688</v>
      </c>
      <c r="H187" s="108">
        <f>IFERROR(lifespans_all!H185*DTE_mission_minutes!H29,"-")</f>
        <v>89453.837836666688</v>
      </c>
      <c r="I187" s="108">
        <f>IFERROR(lifespans_all!I185*DTE_mission_minutes!I29,"-")</f>
        <v>89453.837836666688</v>
      </c>
      <c r="J187" s="108">
        <f>IFERROR(lifespans_all!J185*DTE_mission_minutes!J29,"-")</f>
        <v>89453.837836666688</v>
      </c>
      <c r="K187" s="108">
        <f>IFERROR(lifespans_all!K185*DTE_mission_minutes!K29,"-")</f>
        <v>89453.837836666688</v>
      </c>
      <c r="L187" s="108">
        <f>IFERROR(lifespans_all!L185*DTE_mission_minutes!L29,"-")</f>
        <v>89453.837836666688</v>
      </c>
      <c r="M187" s="108">
        <f>IFERROR(lifespans_all!M185*DTE_mission_minutes!M29,"-")</f>
        <v>89453.837836666688</v>
      </c>
      <c r="N187" s="108">
        <f>IFERROR(lifespans_all!N185*DTE_mission_minutes!N29,"-")</f>
        <v>89453.837836666688</v>
      </c>
      <c r="O187" s="108">
        <f>IFERROR(lifespans_all!O185*DTE_mission_minutes!O29,"-")</f>
        <v>89453.837836666688</v>
      </c>
      <c r="P187" s="108">
        <f>IFERROR(lifespans_all!P185*DTE_mission_minutes!P29,"-")</f>
        <v>89453.837836666688</v>
      </c>
      <c r="Q187" s="108">
        <f>IFERROR(lifespans_all!Q185*DTE_mission_minutes!Q29,"-")</f>
        <v>89453.837836666688</v>
      </c>
      <c r="R187" s="108">
        <f>IFERROR(lifespans_all!R185*DTE_mission_minutes!R29,"-")</f>
        <v>89453.837836666688</v>
      </c>
      <c r="S187" s="108">
        <f>IFERROR(lifespans_all!S185*DTE_mission_minutes!S29,"-")</f>
        <v>89453.837836666688</v>
      </c>
      <c r="T187" s="108">
        <f>IFERROR(lifespans_all!T185*DTE_mission_minutes!T29,"-")</f>
        <v>89453.837836666688</v>
      </c>
      <c r="U187" s="108">
        <f>IFERROR(lifespans_all!U185*DTE_mission_minutes!U29,"-")</f>
        <v>89453.837836666688</v>
      </c>
      <c r="V187" s="108">
        <f>IFERROR(lifespans_all!V185*DTE_mission_minutes!V29,"-")</f>
        <v>89453.837836666688</v>
      </c>
    </row>
    <row r="188" spans="1:22" x14ac:dyDescent="0.25">
      <c r="A188" s="32" t="s">
        <v>61</v>
      </c>
      <c r="B188" s="40" t="s">
        <v>42</v>
      </c>
      <c r="C188" s="108">
        <f>IFERROR(lifespans_all!C186*DTE_mission_minutes!C30,"-")</f>
        <v>721.11352444444435</v>
      </c>
      <c r="D188" s="108">
        <f>IFERROR(lifespans_all!D186*DTE_mission_minutes!D30,"-")</f>
        <v>721.11352444444435</v>
      </c>
      <c r="E188" s="108">
        <f>IFERROR(lifespans_all!E186*DTE_mission_minutes!E30,"-")</f>
        <v>721.11352444444435</v>
      </c>
      <c r="F188" s="108">
        <f>IFERROR(lifespans_all!F186*DTE_mission_minutes!F30,"-")</f>
        <v>721.11352444444435</v>
      </c>
      <c r="G188" s="108">
        <f>IFERROR(lifespans_all!G186*DTE_mission_minutes!G30,"-")</f>
        <v>721.11352444444435</v>
      </c>
      <c r="H188" s="108">
        <f>IFERROR(lifespans_all!H186*DTE_mission_minutes!H30,"-")</f>
        <v>721.11352444444435</v>
      </c>
      <c r="I188" s="108">
        <f>IFERROR(lifespans_all!I186*DTE_mission_minutes!I30,"-")</f>
        <v>721.11352444444435</v>
      </c>
      <c r="J188" s="108">
        <f>IFERROR(lifespans_all!J186*DTE_mission_minutes!J30,"-")</f>
        <v>721.11352444444435</v>
      </c>
      <c r="K188" s="108">
        <f>IFERROR(lifespans_all!K186*DTE_mission_minutes!K30,"-")</f>
        <v>721.11352444444435</v>
      </c>
      <c r="L188" s="108">
        <f>IFERROR(lifespans_all!L186*DTE_mission_minutes!L30,"-")</f>
        <v>721.11352444444435</v>
      </c>
      <c r="M188" s="108">
        <f>IFERROR(lifespans_all!M186*DTE_mission_minutes!M30,"-")</f>
        <v>721.11352444444435</v>
      </c>
      <c r="N188" s="108">
        <f>IFERROR(lifespans_all!N186*DTE_mission_minutes!N30,"-")</f>
        <v>721.11352444444435</v>
      </c>
      <c r="O188" s="108">
        <f>IFERROR(lifespans_all!O186*DTE_mission_minutes!O30,"-")</f>
        <v>721.11352444444435</v>
      </c>
      <c r="P188" s="108">
        <f>IFERROR(lifespans_all!P186*DTE_mission_minutes!P30,"-")</f>
        <v>721.11352444444435</v>
      </c>
      <c r="Q188" s="108">
        <f>IFERROR(lifespans_all!Q186*DTE_mission_minutes!Q30,"-")</f>
        <v>721.11352444444435</v>
      </c>
      <c r="R188" s="108">
        <f>IFERROR(lifespans_all!R186*DTE_mission_minutes!R30,"-")</f>
        <v>721.11352444444435</v>
      </c>
      <c r="S188" s="108">
        <f>IFERROR(lifespans_all!S186*DTE_mission_minutes!S30,"-")</f>
        <v>721.11352444444435</v>
      </c>
      <c r="T188" s="108">
        <f>IFERROR(lifespans_all!T186*DTE_mission_minutes!T30,"-")</f>
        <v>721.11352444444435</v>
      </c>
      <c r="U188" s="108">
        <f>IFERROR(lifespans_all!U186*DTE_mission_minutes!U30,"-")</f>
        <v>721.11352444444435</v>
      </c>
      <c r="V188" s="108">
        <f>IFERROR(lifespans_all!V186*DTE_mission_minutes!V30,"-")</f>
        <v>721.11352444444435</v>
      </c>
    </row>
    <row r="189" spans="1:22" x14ac:dyDescent="0.25">
      <c r="A189" s="32" t="s">
        <v>71</v>
      </c>
      <c r="B189" s="33" t="s">
        <v>40</v>
      </c>
      <c r="C189" s="108">
        <f>IFERROR(lifespans_all!C187*DTE_mission_minutes!C31,"-")</f>
        <v>221.29177222222222</v>
      </c>
      <c r="D189" s="108">
        <f>IFERROR(lifespans_all!D187*DTE_mission_minutes!D31,"-")</f>
        <v>244.03194444444446</v>
      </c>
      <c r="E189" s="108">
        <f>IFERROR(lifespans_all!E187*DTE_mission_minutes!E31,"-")</f>
        <v>0</v>
      </c>
      <c r="F189" s="108">
        <f>IFERROR(lifespans_all!F187*DTE_mission_minutes!F31,"-")</f>
        <v>0</v>
      </c>
      <c r="G189" s="108">
        <f>IFERROR(lifespans_all!G187*DTE_mission_minutes!G31,"-")</f>
        <v>0</v>
      </c>
      <c r="H189" s="108">
        <f>IFERROR(lifespans_all!H187*DTE_mission_minutes!H31,"-")</f>
        <v>0</v>
      </c>
      <c r="I189" s="108">
        <f>IFERROR(lifespans_all!I187*DTE_mission_minutes!I31,"-")</f>
        <v>0</v>
      </c>
      <c r="J189" s="108">
        <f>IFERROR(lifespans_all!J187*DTE_mission_minutes!J31,"-")</f>
        <v>0</v>
      </c>
      <c r="K189" s="108">
        <f>IFERROR(lifespans_all!K187*DTE_mission_minutes!K31,"-")</f>
        <v>0</v>
      </c>
      <c r="L189" s="108">
        <f>IFERROR(lifespans_all!L187*DTE_mission_minutes!L31,"-")</f>
        <v>0</v>
      </c>
      <c r="M189" s="108">
        <f>IFERROR(lifespans_all!M187*DTE_mission_minutes!M31,"-")</f>
        <v>0</v>
      </c>
      <c r="N189" s="108">
        <f>IFERROR(lifespans_all!N187*DTE_mission_minutes!N31,"-")</f>
        <v>0</v>
      </c>
      <c r="O189" s="108">
        <f>IFERROR(lifespans_all!O187*DTE_mission_minutes!O31,"-")</f>
        <v>0</v>
      </c>
      <c r="P189" s="108">
        <f>IFERROR(lifespans_all!P187*DTE_mission_minutes!P31,"-")</f>
        <v>0</v>
      </c>
      <c r="Q189" s="108">
        <f>IFERROR(lifespans_all!Q187*DTE_mission_minutes!Q31,"-")</f>
        <v>0</v>
      </c>
      <c r="R189" s="108">
        <f>IFERROR(lifespans_all!R187*DTE_mission_minutes!R31,"-")</f>
        <v>0</v>
      </c>
      <c r="S189" s="108">
        <f>IFERROR(lifespans_all!S187*DTE_mission_minutes!S31,"-")</f>
        <v>0</v>
      </c>
      <c r="T189" s="108">
        <f>IFERROR(lifespans_all!T187*DTE_mission_minutes!T31,"-")</f>
        <v>0</v>
      </c>
      <c r="U189" s="108">
        <f>IFERROR(lifespans_all!U187*DTE_mission_minutes!U31,"-")</f>
        <v>0</v>
      </c>
      <c r="V189" s="108">
        <f>IFERROR(lifespans_all!V187*DTE_mission_minutes!V31,"-")</f>
        <v>0</v>
      </c>
    </row>
    <row r="190" spans="1:22" x14ac:dyDescent="0.25">
      <c r="A190" s="32" t="s">
        <v>27</v>
      </c>
      <c r="B190" s="40" t="s">
        <v>45</v>
      </c>
      <c r="C190" s="108">
        <f>IFERROR(lifespans_all!C188*DTE_mission_minutes!C32,"-")</f>
        <v>64.996111111111119</v>
      </c>
      <c r="D190" s="108">
        <f>IFERROR(lifespans_all!D188*DTE_mission_minutes!D32,"-")</f>
        <v>0</v>
      </c>
      <c r="E190" s="108">
        <f>IFERROR(lifespans_all!E188*DTE_mission_minutes!E32,"-")</f>
        <v>0</v>
      </c>
      <c r="F190" s="108">
        <f>IFERROR(lifespans_all!F188*DTE_mission_minutes!F32,"-")</f>
        <v>0</v>
      </c>
      <c r="G190" s="108">
        <f>IFERROR(lifespans_all!G188*DTE_mission_minutes!G32,"-")</f>
        <v>0</v>
      </c>
      <c r="H190" s="108">
        <f>IFERROR(lifespans_all!H188*DTE_mission_minutes!H32,"-")</f>
        <v>0</v>
      </c>
      <c r="I190" s="108">
        <f>IFERROR(lifespans_all!I188*DTE_mission_minutes!I32,"-")</f>
        <v>0</v>
      </c>
      <c r="J190" s="108">
        <f>IFERROR(lifespans_all!J188*DTE_mission_minutes!J32,"-")</f>
        <v>0</v>
      </c>
      <c r="K190" s="108">
        <f>IFERROR(lifespans_all!K188*DTE_mission_minutes!K32,"-")</f>
        <v>0</v>
      </c>
      <c r="L190" s="108">
        <f>IFERROR(lifespans_all!L188*DTE_mission_minutes!L32,"-")</f>
        <v>0</v>
      </c>
      <c r="M190" s="108">
        <f>IFERROR(lifespans_all!M188*DTE_mission_minutes!M32,"-")</f>
        <v>0</v>
      </c>
      <c r="N190" s="108">
        <f>IFERROR(lifespans_all!N188*DTE_mission_minutes!N32,"-")</f>
        <v>0</v>
      </c>
      <c r="O190" s="108">
        <f>IFERROR(lifespans_all!O188*DTE_mission_minutes!O32,"-")</f>
        <v>0</v>
      </c>
      <c r="P190" s="108">
        <f>IFERROR(lifespans_all!P188*DTE_mission_minutes!P32,"-")</f>
        <v>0</v>
      </c>
      <c r="Q190" s="108">
        <f>IFERROR(lifespans_all!Q188*DTE_mission_minutes!Q32,"-")</f>
        <v>0</v>
      </c>
      <c r="R190" s="108">
        <f>IFERROR(lifespans_all!R188*DTE_mission_minutes!R32,"-")</f>
        <v>0</v>
      </c>
      <c r="S190" s="108">
        <f>IFERROR(lifespans_all!S188*DTE_mission_minutes!S32,"-")</f>
        <v>0</v>
      </c>
      <c r="T190" s="108">
        <f>IFERROR(lifespans_all!T188*DTE_mission_minutes!T32,"-")</f>
        <v>0</v>
      </c>
      <c r="U190" s="108">
        <f>IFERROR(lifespans_all!U188*DTE_mission_minutes!U32,"-")</f>
        <v>0</v>
      </c>
      <c r="V190" s="108">
        <f>IFERROR(lifespans_all!V188*DTE_mission_minutes!V32,"-")</f>
        <v>0</v>
      </c>
    </row>
    <row r="191" spans="1:22" x14ac:dyDescent="0.25">
      <c r="A191" s="32" t="s">
        <v>39</v>
      </c>
      <c r="B191" s="33" t="s">
        <v>41</v>
      </c>
      <c r="C191" s="108">
        <f>IFERROR(lifespans_all!C189*DTE_mission_minutes!C33,"-")</f>
        <v>575.81194444444441</v>
      </c>
      <c r="D191" s="108">
        <f>IFERROR(lifespans_all!D189*DTE_mission_minutes!D33,"-")</f>
        <v>580.59861111111104</v>
      </c>
      <c r="E191" s="108">
        <f>IFERROR(lifespans_all!E189*DTE_mission_minutes!E33,"-")</f>
        <v>499.24888888888893</v>
      </c>
      <c r="F191" s="108">
        <f>IFERROR(lifespans_all!F189*DTE_mission_minutes!F33,"-")</f>
        <v>565.82727777777768</v>
      </c>
      <c r="G191" s="108">
        <f>IFERROR(lifespans_all!G189*DTE_mission_minutes!G33,"-")</f>
        <v>0</v>
      </c>
      <c r="H191" s="108">
        <f>IFERROR(lifespans_all!H189*DTE_mission_minutes!H33,"-")</f>
        <v>0</v>
      </c>
      <c r="I191" s="108">
        <f>IFERROR(lifespans_all!I189*DTE_mission_minutes!I33,"-")</f>
        <v>0</v>
      </c>
      <c r="J191" s="108">
        <f>IFERROR(lifespans_all!J189*DTE_mission_minutes!J33,"-")</f>
        <v>0</v>
      </c>
      <c r="K191" s="108">
        <f>IFERROR(lifespans_all!K189*DTE_mission_minutes!K33,"-")</f>
        <v>0</v>
      </c>
      <c r="L191" s="108">
        <f>IFERROR(lifespans_all!L189*DTE_mission_minutes!L33,"-")</f>
        <v>0</v>
      </c>
      <c r="M191" s="108">
        <f>IFERROR(lifespans_all!M189*DTE_mission_minutes!M33,"-")</f>
        <v>0</v>
      </c>
      <c r="N191" s="108">
        <f>IFERROR(lifespans_all!N189*DTE_mission_minutes!N33,"-")</f>
        <v>0</v>
      </c>
      <c r="O191" s="108">
        <f>IFERROR(lifespans_all!O189*DTE_mission_minutes!O33,"-")</f>
        <v>0</v>
      </c>
      <c r="P191" s="108">
        <f>IFERROR(lifespans_all!P189*DTE_mission_minutes!P33,"-")</f>
        <v>0</v>
      </c>
      <c r="Q191" s="108">
        <f>IFERROR(lifespans_all!Q189*DTE_mission_minutes!Q33,"-")</f>
        <v>0</v>
      </c>
      <c r="R191" s="108">
        <f>IFERROR(lifespans_all!R189*DTE_mission_minutes!R33,"-")</f>
        <v>0</v>
      </c>
      <c r="S191" s="108">
        <f>IFERROR(lifespans_all!S189*DTE_mission_minutes!S33,"-")</f>
        <v>0</v>
      </c>
      <c r="T191" s="108">
        <f>IFERROR(lifespans_all!T189*DTE_mission_minutes!T33,"-")</f>
        <v>0</v>
      </c>
      <c r="U191" s="108">
        <f>IFERROR(lifespans_all!U189*DTE_mission_minutes!U33,"-")</f>
        <v>0</v>
      </c>
      <c r="V191" s="108">
        <f>IFERROR(lifespans_all!V189*DTE_mission_minutes!V33,"-")</f>
        <v>0</v>
      </c>
    </row>
    <row r="192" spans="1:22" x14ac:dyDescent="0.25">
      <c r="A192" s="32" t="s">
        <v>28</v>
      </c>
      <c r="B192" s="32"/>
      <c r="C192" s="108" t="str">
        <f>IFERROR(lifespans_all!C190*DTE_mission_minutes!C34,"-")</f>
        <v>-</v>
      </c>
      <c r="D192" s="108" t="str">
        <f>IFERROR(lifespans_all!D190*DTE_mission_minutes!D34,"-")</f>
        <v>-</v>
      </c>
      <c r="E192" s="108" t="str">
        <f>IFERROR(lifespans_all!E190*DTE_mission_minutes!E34,"-")</f>
        <v>-</v>
      </c>
      <c r="F192" s="108" t="str">
        <f>IFERROR(lifespans_all!F190*DTE_mission_minutes!F34,"-")</f>
        <v>-</v>
      </c>
      <c r="G192" s="108" t="str">
        <f>IFERROR(lifespans_all!G190*DTE_mission_minutes!G34,"-")</f>
        <v>-</v>
      </c>
      <c r="H192" s="108" t="str">
        <f>IFERROR(lifespans_all!H190*DTE_mission_minutes!H34,"-")</f>
        <v>-</v>
      </c>
      <c r="I192" s="108" t="str">
        <f>IFERROR(lifespans_all!I190*DTE_mission_minutes!I34,"-")</f>
        <v>-</v>
      </c>
      <c r="J192" s="108" t="str">
        <f>IFERROR(lifespans_all!J190*DTE_mission_minutes!J34,"-")</f>
        <v>-</v>
      </c>
      <c r="K192" s="108" t="str">
        <f>IFERROR(lifespans_all!K190*DTE_mission_minutes!K34,"-")</f>
        <v>-</v>
      </c>
      <c r="L192" s="108" t="str">
        <f>IFERROR(lifespans_all!L190*DTE_mission_minutes!L34,"-")</f>
        <v>-</v>
      </c>
      <c r="M192" s="108" t="str">
        <f>IFERROR(lifespans_all!M190*DTE_mission_minutes!M34,"-")</f>
        <v>-</v>
      </c>
      <c r="N192" s="108" t="str">
        <f>IFERROR(lifespans_all!N190*DTE_mission_minutes!N34,"-")</f>
        <v>-</v>
      </c>
      <c r="O192" s="108" t="str">
        <f>IFERROR(lifespans_all!O190*DTE_mission_minutes!O34,"-")</f>
        <v>-</v>
      </c>
      <c r="P192" s="108" t="str">
        <f>IFERROR(lifespans_all!P190*DTE_mission_minutes!P34,"-")</f>
        <v>-</v>
      </c>
      <c r="Q192" s="108" t="str">
        <f>IFERROR(lifespans_all!Q190*DTE_mission_minutes!Q34,"-")</f>
        <v>-</v>
      </c>
      <c r="R192" s="108" t="str">
        <f>IFERROR(lifespans_all!R190*DTE_mission_minutes!R34,"-")</f>
        <v>-</v>
      </c>
      <c r="S192" s="108" t="str">
        <f>IFERROR(lifespans_all!S190*DTE_mission_minutes!S34,"-")</f>
        <v>-</v>
      </c>
      <c r="T192" s="108" t="str">
        <f>IFERROR(lifespans_all!T190*DTE_mission_minutes!T34,"-")</f>
        <v>-</v>
      </c>
      <c r="U192" s="108" t="str">
        <f>IFERROR(lifespans_all!U190*DTE_mission_minutes!U34,"-")</f>
        <v>-</v>
      </c>
      <c r="V192" s="108" t="str">
        <f>IFERROR(lifespans_all!V190*DTE_mission_minutes!V34,"-")</f>
        <v>-</v>
      </c>
    </row>
    <row r="193" spans="1:22" x14ac:dyDescent="0.25">
      <c r="A193" s="32" t="s">
        <v>62</v>
      </c>
      <c r="B193" s="33" t="s">
        <v>41</v>
      </c>
      <c r="C193" s="108">
        <f>IFERROR(lifespans_all!C191*DTE_mission_minutes!C35,"-")</f>
        <v>64.579722222222216</v>
      </c>
      <c r="D193" s="108">
        <f>IFERROR(lifespans_all!D191*DTE_mission_minutes!D35,"-")</f>
        <v>56.487941666666664</v>
      </c>
      <c r="E193" s="108">
        <f>IFERROR(lifespans_all!E191*DTE_mission_minutes!E35,"-")</f>
        <v>49.259444444444441</v>
      </c>
      <c r="F193" s="108">
        <f>IFERROR(lifespans_all!F191*DTE_mission_minutes!F35,"-")</f>
        <v>60.035777777777774</v>
      </c>
      <c r="G193" s="108">
        <f>IFERROR(lifespans_all!G191*DTE_mission_minutes!G35,"-")</f>
        <v>60.035777777777774</v>
      </c>
      <c r="H193" s="108">
        <f>IFERROR(lifespans_all!H191*DTE_mission_minutes!H35,"-")</f>
        <v>0</v>
      </c>
      <c r="I193" s="108">
        <f>IFERROR(lifespans_all!I191*DTE_mission_minutes!I35,"-")</f>
        <v>0</v>
      </c>
      <c r="J193" s="108">
        <f>IFERROR(lifespans_all!J191*DTE_mission_minutes!J35,"-")</f>
        <v>0</v>
      </c>
      <c r="K193" s="108">
        <f>IFERROR(lifespans_all!K191*DTE_mission_minutes!K35,"-")</f>
        <v>0</v>
      </c>
      <c r="L193" s="108">
        <f>IFERROR(lifespans_all!L191*DTE_mission_minutes!L35,"-")</f>
        <v>0</v>
      </c>
      <c r="M193" s="108">
        <f>IFERROR(lifespans_all!M191*DTE_mission_minutes!M35,"-")</f>
        <v>0</v>
      </c>
      <c r="N193" s="108">
        <f>IFERROR(lifespans_all!N191*DTE_mission_minutes!N35,"-")</f>
        <v>0</v>
      </c>
      <c r="O193" s="108">
        <f>IFERROR(lifespans_all!O191*DTE_mission_minutes!O35,"-")</f>
        <v>0</v>
      </c>
      <c r="P193" s="108">
        <f>IFERROR(lifespans_all!P191*DTE_mission_minutes!P35,"-")</f>
        <v>0</v>
      </c>
      <c r="Q193" s="108">
        <f>IFERROR(lifespans_all!Q191*DTE_mission_minutes!Q35,"-")</f>
        <v>0</v>
      </c>
      <c r="R193" s="108">
        <f>IFERROR(lifespans_all!R191*DTE_mission_minutes!R35,"-")</f>
        <v>0</v>
      </c>
      <c r="S193" s="108">
        <f>IFERROR(lifespans_all!S191*DTE_mission_minutes!S35,"-")</f>
        <v>0</v>
      </c>
      <c r="T193" s="108">
        <f>IFERROR(lifespans_all!T191*DTE_mission_minutes!T35,"-")</f>
        <v>0</v>
      </c>
      <c r="U193" s="108">
        <f>IFERROR(lifespans_all!U191*DTE_mission_minutes!U35,"-")</f>
        <v>0</v>
      </c>
      <c r="V193" s="108">
        <f>IFERROR(lifespans_all!V191*DTE_mission_minutes!V35,"-")</f>
        <v>0</v>
      </c>
    </row>
    <row r="194" spans="1:22" x14ac:dyDescent="0.25">
      <c r="A194" s="32" t="s">
        <v>29</v>
      </c>
      <c r="B194" s="33" t="s">
        <v>41</v>
      </c>
      <c r="C194" s="108">
        <f>IFERROR(lifespans_all!C192*DTE_mission_minutes!C36,"-")</f>
        <v>133409.35004928565</v>
      </c>
      <c r="D194" s="108">
        <f>IFERROR(lifespans_all!D192*DTE_mission_minutes!D36,"-")</f>
        <v>133409.35004928565</v>
      </c>
      <c r="E194" s="108">
        <f>IFERROR(lifespans_all!E192*DTE_mission_minutes!E36,"-")</f>
        <v>133409.35004928565</v>
      </c>
      <c r="F194" s="108">
        <f>IFERROR(lifespans_all!F192*DTE_mission_minutes!F36,"-")</f>
        <v>0</v>
      </c>
      <c r="G194" s="108">
        <f>IFERROR(lifespans_all!G192*DTE_mission_minutes!G36,"-")</f>
        <v>0</v>
      </c>
      <c r="H194" s="108">
        <f>IFERROR(lifespans_all!H192*DTE_mission_minutes!H36,"-")</f>
        <v>0</v>
      </c>
      <c r="I194" s="108">
        <f>IFERROR(lifespans_all!I192*DTE_mission_minutes!I36,"-")</f>
        <v>0</v>
      </c>
      <c r="J194" s="108">
        <f>IFERROR(lifespans_all!J192*DTE_mission_minutes!J36,"-")</f>
        <v>0</v>
      </c>
      <c r="K194" s="108">
        <f>IFERROR(lifespans_all!K192*DTE_mission_minutes!K36,"-")</f>
        <v>0</v>
      </c>
      <c r="L194" s="108">
        <f>IFERROR(lifespans_all!L192*DTE_mission_minutes!L36,"-")</f>
        <v>0</v>
      </c>
      <c r="M194" s="108">
        <f>IFERROR(lifespans_all!M192*DTE_mission_minutes!M36,"-")</f>
        <v>0</v>
      </c>
      <c r="N194" s="108">
        <f>IFERROR(lifespans_all!N192*DTE_mission_minutes!N36,"-")</f>
        <v>0</v>
      </c>
      <c r="O194" s="108">
        <f>IFERROR(lifespans_all!O192*DTE_mission_minutes!O36,"-")</f>
        <v>0</v>
      </c>
      <c r="P194" s="108">
        <f>IFERROR(lifespans_all!P192*DTE_mission_minutes!P36,"-")</f>
        <v>0</v>
      </c>
      <c r="Q194" s="108">
        <f>IFERROR(lifespans_all!Q192*DTE_mission_minutes!Q36,"-")</f>
        <v>0</v>
      </c>
      <c r="R194" s="108">
        <f>IFERROR(lifespans_all!R192*DTE_mission_minutes!R36,"-")</f>
        <v>0</v>
      </c>
      <c r="S194" s="108">
        <f>IFERROR(lifespans_all!S192*DTE_mission_minutes!S36,"-")</f>
        <v>0</v>
      </c>
      <c r="T194" s="108">
        <f>IFERROR(lifespans_all!T192*DTE_mission_minutes!T36,"-")</f>
        <v>0</v>
      </c>
      <c r="U194" s="108">
        <f>IFERROR(lifespans_all!U192*DTE_mission_minutes!U36,"-")</f>
        <v>0</v>
      </c>
      <c r="V194" s="108">
        <f>IFERROR(lifespans_all!V192*DTE_mission_minutes!V36,"-")</f>
        <v>0</v>
      </c>
    </row>
    <row r="195" spans="1:22" x14ac:dyDescent="0.25">
      <c r="A195" s="32" t="s">
        <v>30</v>
      </c>
      <c r="B195" s="40" t="s">
        <v>43</v>
      </c>
      <c r="C195" s="108">
        <f>IFERROR(lifespans_all!C193*DTE_mission_minutes!C37,"-")</f>
        <v>171572.29579277776</v>
      </c>
      <c r="D195" s="108">
        <f>IFERROR(lifespans_all!D193*DTE_mission_minutes!D37,"-")</f>
        <v>171572.29579277776</v>
      </c>
      <c r="E195" s="108">
        <f>IFERROR(lifespans_all!E193*DTE_mission_minutes!E37,"-")</f>
        <v>171572.29579277776</v>
      </c>
      <c r="F195" s="108">
        <f>IFERROR(lifespans_all!F193*DTE_mission_minutes!F37,"-")</f>
        <v>171572.29579277776</v>
      </c>
      <c r="G195" s="108">
        <f>IFERROR(lifespans_all!G193*DTE_mission_minutes!G37,"-")</f>
        <v>171572.29579277776</v>
      </c>
      <c r="H195" s="108">
        <f>IFERROR(lifespans_all!H193*DTE_mission_minutes!H37,"-")</f>
        <v>171572.29579277776</v>
      </c>
      <c r="I195" s="108">
        <f>IFERROR(lifespans_all!I193*DTE_mission_minutes!I37,"-")</f>
        <v>171572.29579277776</v>
      </c>
      <c r="J195" s="108">
        <f>IFERROR(lifespans_all!J193*DTE_mission_minutes!J37,"-")</f>
        <v>171572.29579277776</v>
      </c>
      <c r="K195" s="108">
        <f>IFERROR(lifespans_all!K193*DTE_mission_minutes!K37,"-")</f>
        <v>171572.29579277776</v>
      </c>
      <c r="L195" s="108">
        <f>IFERROR(lifespans_all!L193*DTE_mission_minutes!L37,"-")</f>
        <v>171572.29579277776</v>
      </c>
      <c r="M195" s="108">
        <f>IFERROR(lifespans_all!M193*DTE_mission_minutes!M37,"-")</f>
        <v>171572.29579277776</v>
      </c>
      <c r="N195" s="108">
        <f>IFERROR(lifespans_all!N193*DTE_mission_minutes!N37,"-")</f>
        <v>171572.29579277776</v>
      </c>
      <c r="O195" s="108">
        <f>IFERROR(lifespans_all!O193*DTE_mission_minutes!O37,"-")</f>
        <v>171572.29579277776</v>
      </c>
      <c r="P195" s="108">
        <f>IFERROR(lifespans_all!P193*DTE_mission_minutes!P37,"-")</f>
        <v>171572.29579277776</v>
      </c>
      <c r="Q195" s="108">
        <f>IFERROR(lifespans_all!Q193*DTE_mission_minutes!Q37,"-")</f>
        <v>171572.29579277776</v>
      </c>
      <c r="R195" s="108">
        <f>IFERROR(lifespans_all!R193*DTE_mission_minutes!R37,"-")</f>
        <v>171572.29579277776</v>
      </c>
      <c r="S195" s="108">
        <f>IFERROR(lifespans_all!S193*DTE_mission_minutes!S37,"-")</f>
        <v>171572.29579277776</v>
      </c>
      <c r="T195" s="108">
        <f>IFERROR(lifespans_all!T193*DTE_mission_minutes!T37,"-")</f>
        <v>171572.29579277776</v>
      </c>
      <c r="U195" s="108">
        <f>IFERROR(lifespans_all!U193*DTE_mission_minutes!U37,"-")</f>
        <v>171572.29579277776</v>
      </c>
      <c r="V195" s="108">
        <f>IFERROR(lifespans_all!V193*DTE_mission_minutes!V37,"-")</f>
        <v>171572.29579277776</v>
      </c>
    </row>
    <row r="196" spans="1:22" x14ac:dyDescent="0.25">
      <c r="A196" s="32" t="s">
        <v>31</v>
      </c>
      <c r="B196" s="41" t="s">
        <v>48</v>
      </c>
      <c r="C196" s="108" t="str">
        <f>IFERROR(lifespans_all!C194*DTE_mission_minutes!C38,"-")</f>
        <v>-</v>
      </c>
      <c r="D196" s="108" t="str">
        <f>IFERROR(lifespans_all!D194*DTE_mission_minutes!D38,"-")</f>
        <v>-</v>
      </c>
      <c r="E196" s="108" t="str">
        <f>IFERROR(lifespans_all!E194*DTE_mission_minutes!E38,"-")</f>
        <v>-</v>
      </c>
      <c r="F196" s="108" t="str">
        <f>IFERROR(lifespans_all!F194*DTE_mission_minutes!F38,"-")</f>
        <v>-</v>
      </c>
      <c r="G196" s="108" t="str">
        <f>IFERROR(lifespans_all!G194*DTE_mission_minutes!G38,"-")</f>
        <v>-</v>
      </c>
      <c r="H196" s="108" t="str">
        <f>IFERROR(lifespans_all!H194*DTE_mission_minutes!H38,"-")</f>
        <v>-</v>
      </c>
      <c r="I196" s="108" t="str">
        <f>IFERROR(lifespans_all!I194*DTE_mission_minutes!I38,"-")</f>
        <v>-</v>
      </c>
      <c r="J196" s="108" t="str">
        <f>IFERROR(lifespans_all!J194*DTE_mission_minutes!J38,"-")</f>
        <v>-</v>
      </c>
      <c r="K196" s="108" t="str">
        <f>IFERROR(lifespans_all!K194*DTE_mission_minutes!K38,"-")</f>
        <v>-</v>
      </c>
      <c r="L196" s="108" t="str">
        <f>IFERROR(lifespans_all!L194*DTE_mission_minutes!L38,"-")</f>
        <v>-</v>
      </c>
      <c r="M196" s="108" t="str">
        <f>IFERROR(lifespans_all!M194*DTE_mission_minutes!M38,"-")</f>
        <v>-</v>
      </c>
      <c r="N196" s="108" t="str">
        <f>IFERROR(lifespans_all!N194*DTE_mission_minutes!N38,"-")</f>
        <v>-</v>
      </c>
      <c r="O196" s="108" t="str">
        <f>IFERROR(lifespans_all!O194*DTE_mission_minutes!O38,"-")</f>
        <v>-</v>
      </c>
      <c r="P196" s="108" t="str">
        <f>IFERROR(lifespans_all!P194*DTE_mission_minutes!P38,"-")</f>
        <v>-</v>
      </c>
      <c r="Q196" s="108" t="str">
        <f>IFERROR(lifespans_all!Q194*DTE_mission_minutes!Q38,"-")</f>
        <v>-</v>
      </c>
      <c r="R196" s="108" t="str">
        <f>IFERROR(lifespans_all!R194*DTE_mission_minutes!R38,"-")</f>
        <v>-</v>
      </c>
      <c r="S196" s="108" t="str">
        <f>IFERROR(lifespans_all!S194*DTE_mission_minutes!S38,"-")</f>
        <v>-</v>
      </c>
      <c r="T196" s="108" t="str">
        <f>IFERROR(lifespans_all!T194*DTE_mission_minutes!T38,"-")</f>
        <v>-</v>
      </c>
      <c r="U196" s="108" t="str">
        <f>IFERROR(lifespans_all!U194*DTE_mission_minutes!U38,"-")</f>
        <v>-</v>
      </c>
      <c r="V196" s="108" t="str">
        <f>IFERROR(lifespans_all!V194*DTE_mission_minutes!V38,"-")</f>
        <v>-</v>
      </c>
    </row>
    <row r="197" spans="1:22" x14ac:dyDescent="0.25">
      <c r="A197" s="32" t="s">
        <v>32</v>
      </c>
      <c r="B197" s="41" t="s">
        <v>48</v>
      </c>
      <c r="C197" s="108" t="str">
        <f>IFERROR(lifespans_all!C195*DTE_mission_minutes!C39,"-")</f>
        <v>-</v>
      </c>
      <c r="D197" s="108" t="str">
        <f>IFERROR(lifespans_all!D195*DTE_mission_minutes!D39,"-")</f>
        <v>-</v>
      </c>
      <c r="E197" s="108" t="str">
        <f>IFERROR(lifespans_all!E195*DTE_mission_minutes!E39,"-")</f>
        <v>-</v>
      </c>
      <c r="F197" s="108" t="str">
        <f>IFERROR(lifespans_all!F195*DTE_mission_minutes!F39,"-")</f>
        <v>-</v>
      </c>
      <c r="G197" s="108" t="str">
        <f>IFERROR(lifespans_all!G195*DTE_mission_minutes!G39,"-")</f>
        <v>-</v>
      </c>
      <c r="H197" s="108" t="str">
        <f>IFERROR(lifespans_all!H195*DTE_mission_minutes!H39,"-")</f>
        <v>-</v>
      </c>
      <c r="I197" s="108" t="str">
        <f>IFERROR(lifespans_all!I195*DTE_mission_minutes!I39,"-")</f>
        <v>-</v>
      </c>
      <c r="J197" s="108" t="str">
        <f>IFERROR(lifespans_all!J195*DTE_mission_minutes!J39,"-")</f>
        <v>-</v>
      </c>
      <c r="K197" s="108" t="str">
        <f>IFERROR(lifespans_all!K195*DTE_mission_minutes!K39,"-")</f>
        <v>-</v>
      </c>
      <c r="L197" s="108" t="str">
        <f>IFERROR(lifespans_all!L195*DTE_mission_minutes!L39,"-")</f>
        <v>-</v>
      </c>
      <c r="M197" s="108" t="str">
        <f>IFERROR(lifespans_all!M195*DTE_mission_minutes!M39,"-")</f>
        <v>-</v>
      </c>
      <c r="N197" s="108" t="str">
        <f>IFERROR(lifespans_all!N195*DTE_mission_minutes!N39,"-")</f>
        <v>-</v>
      </c>
      <c r="O197" s="108" t="str">
        <f>IFERROR(lifespans_all!O195*DTE_mission_minutes!O39,"-")</f>
        <v>-</v>
      </c>
      <c r="P197" s="108" t="str">
        <f>IFERROR(lifespans_all!P195*DTE_mission_minutes!P39,"-")</f>
        <v>-</v>
      </c>
      <c r="Q197" s="108" t="str">
        <f>IFERROR(lifespans_all!Q195*DTE_mission_minutes!Q39,"-")</f>
        <v>-</v>
      </c>
      <c r="R197" s="108" t="str">
        <f>IFERROR(lifespans_all!R195*DTE_mission_minutes!R39,"-")</f>
        <v>-</v>
      </c>
      <c r="S197" s="108" t="str">
        <f>IFERROR(lifespans_all!S195*DTE_mission_minutes!S39,"-")</f>
        <v>-</v>
      </c>
      <c r="T197" s="108" t="str">
        <f>IFERROR(lifespans_all!T195*DTE_mission_minutes!T39,"-")</f>
        <v>-</v>
      </c>
      <c r="U197" s="108" t="str">
        <f>IFERROR(lifespans_all!U195*DTE_mission_minutes!U39,"-")</f>
        <v>-</v>
      </c>
      <c r="V197" s="108" t="str">
        <f>IFERROR(lifespans_all!V195*DTE_mission_minutes!V39,"-")</f>
        <v>-</v>
      </c>
    </row>
    <row r="198" spans="1:22" x14ac:dyDescent="0.25">
      <c r="A198" s="32" t="s">
        <v>33</v>
      </c>
      <c r="B198" s="33" t="s">
        <v>41</v>
      </c>
      <c r="C198" s="108">
        <f>IFERROR(lifespans_all!C196*DTE_mission_minutes!C40,"-")</f>
        <v>0</v>
      </c>
      <c r="D198" s="108">
        <f>IFERROR(lifespans_all!D196*DTE_mission_minutes!D40,"-")</f>
        <v>0</v>
      </c>
      <c r="E198" s="108">
        <f>IFERROR(lifespans_all!E196*DTE_mission_minutes!E40,"-")</f>
        <v>0</v>
      </c>
      <c r="F198" s="108">
        <f>IFERROR(lifespans_all!F196*DTE_mission_minutes!F40,"-")</f>
        <v>0</v>
      </c>
      <c r="G198" s="108">
        <f>IFERROR(lifespans_all!G196*DTE_mission_minutes!G40,"-")</f>
        <v>0</v>
      </c>
      <c r="H198" s="108">
        <f>IFERROR(lifespans_all!H196*DTE_mission_minutes!H40,"-")</f>
        <v>0</v>
      </c>
      <c r="I198" s="108">
        <f>IFERROR(lifespans_all!I196*DTE_mission_minutes!I40,"-")</f>
        <v>0</v>
      </c>
      <c r="J198" s="108">
        <f>IFERROR(lifespans_all!J196*DTE_mission_minutes!J40,"-")</f>
        <v>0</v>
      </c>
      <c r="K198" s="108">
        <f>IFERROR(lifespans_all!K196*DTE_mission_minutes!K40,"-")</f>
        <v>0</v>
      </c>
      <c r="L198" s="108">
        <f>IFERROR(lifespans_all!L196*DTE_mission_minutes!L40,"-")</f>
        <v>0</v>
      </c>
      <c r="M198" s="108">
        <f>IFERROR(lifespans_all!M196*DTE_mission_minutes!M40,"-")</f>
        <v>0</v>
      </c>
      <c r="N198" s="108">
        <f>IFERROR(lifespans_all!N196*DTE_mission_minutes!N40,"-")</f>
        <v>0</v>
      </c>
      <c r="O198" s="108">
        <f>IFERROR(lifespans_all!O196*DTE_mission_minutes!O40,"-")</f>
        <v>0</v>
      </c>
      <c r="P198" s="108">
        <f>IFERROR(lifespans_all!P196*DTE_mission_minutes!P40,"-")</f>
        <v>0</v>
      </c>
      <c r="Q198" s="108">
        <f>IFERROR(lifespans_all!Q196*DTE_mission_minutes!Q40,"-")</f>
        <v>0</v>
      </c>
      <c r="R198" s="108">
        <f>IFERROR(lifespans_all!R196*DTE_mission_minutes!R40,"-")</f>
        <v>0</v>
      </c>
      <c r="S198" s="108">
        <f>IFERROR(lifespans_all!S196*DTE_mission_minutes!S40,"-")</f>
        <v>0</v>
      </c>
      <c r="T198" s="108">
        <f>IFERROR(lifespans_all!T196*DTE_mission_minutes!T40,"-")</f>
        <v>0</v>
      </c>
      <c r="U198" s="108">
        <f>IFERROR(lifespans_all!U196*DTE_mission_minutes!U40,"-")</f>
        <v>0</v>
      </c>
      <c r="V198" s="108">
        <f>IFERROR(lifespans_all!V196*DTE_mission_minutes!V40,"-")</f>
        <v>0</v>
      </c>
    </row>
    <row r="199" spans="1:22" x14ac:dyDescent="0.25">
      <c r="A199" s="32" t="s">
        <v>34</v>
      </c>
      <c r="B199" s="40" t="s">
        <v>45</v>
      </c>
      <c r="C199" s="108">
        <f>IFERROR(lifespans_all!C197*DTE_mission_minutes!C41,"-")</f>
        <v>1321.6547222222223</v>
      </c>
      <c r="D199" s="108">
        <f>IFERROR(lifespans_all!D197*DTE_mission_minutes!D41,"-")</f>
        <v>1450.1822222222222</v>
      </c>
      <c r="E199" s="108">
        <f>IFERROR(lifespans_all!E197*DTE_mission_minutes!E41,"-")</f>
        <v>1386.2452777777776</v>
      </c>
      <c r="F199" s="108">
        <f>IFERROR(lifespans_all!F197*DTE_mission_minutes!F41,"-")</f>
        <v>1393.7255555555555</v>
      </c>
      <c r="G199" s="108">
        <f>IFERROR(lifespans_all!G197*DTE_mission_minutes!G41,"-")</f>
        <v>1393.7255555555555</v>
      </c>
      <c r="H199" s="108">
        <f>IFERROR(lifespans_all!H197*DTE_mission_minutes!H41,"-")</f>
        <v>0</v>
      </c>
      <c r="I199" s="108">
        <f>IFERROR(lifespans_all!I197*DTE_mission_minutes!I41,"-")</f>
        <v>0</v>
      </c>
      <c r="J199" s="108">
        <f>IFERROR(lifespans_all!J197*DTE_mission_minutes!J41,"-")</f>
        <v>0</v>
      </c>
      <c r="K199" s="108">
        <f>IFERROR(lifespans_all!K197*DTE_mission_minutes!K41,"-")</f>
        <v>0</v>
      </c>
      <c r="L199" s="108">
        <f>IFERROR(lifespans_all!L197*DTE_mission_minutes!L41,"-")</f>
        <v>0</v>
      </c>
      <c r="M199" s="108">
        <f>IFERROR(lifespans_all!M197*DTE_mission_minutes!M41,"-")</f>
        <v>0</v>
      </c>
      <c r="N199" s="108">
        <f>IFERROR(lifespans_all!N197*DTE_mission_minutes!N41,"-")</f>
        <v>0</v>
      </c>
      <c r="O199" s="108">
        <f>IFERROR(lifespans_all!O197*DTE_mission_minutes!O41,"-")</f>
        <v>0</v>
      </c>
      <c r="P199" s="108">
        <f>IFERROR(lifespans_all!P197*DTE_mission_minutes!P41,"-")</f>
        <v>0</v>
      </c>
      <c r="Q199" s="108">
        <f>IFERROR(lifespans_all!Q197*DTE_mission_minutes!Q41,"-")</f>
        <v>0</v>
      </c>
      <c r="R199" s="108">
        <f>IFERROR(lifespans_all!R197*DTE_mission_minutes!R41,"-")</f>
        <v>0</v>
      </c>
      <c r="S199" s="108">
        <f>IFERROR(lifespans_all!S197*DTE_mission_minutes!S41,"-")</f>
        <v>0</v>
      </c>
      <c r="T199" s="108">
        <f>IFERROR(lifespans_all!T197*DTE_mission_minutes!T41,"-")</f>
        <v>0</v>
      </c>
      <c r="U199" s="108">
        <f>IFERROR(lifespans_all!U197*DTE_mission_minutes!U41,"-")</f>
        <v>0</v>
      </c>
      <c r="V199" s="108">
        <f>IFERROR(lifespans_all!V197*DTE_mission_minutes!V41,"-")</f>
        <v>0</v>
      </c>
    </row>
    <row r="200" spans="1:22" x14ac:dyDescent="0.25">
      <c r="A200" s="32" t="s">
        <v>63</v>
      </c>
      <c r="B200" s="40" t="s">
        <v>43</v>
      </c>
      <c r="C200" s="108">
        <f>IFERROR(lifespans_all!C198*DTE_mission_minutes!C42,"-")</f>
        <v>171572.29579277776</v>
      </c>
      <c r="D200" s="108">
        <f>IFERROR(lifespans_all!D198*DTE_mission_minutes!D42,"-")</f>
        <v>171572.29579277776</v>
      </c>
      <c r="E200" s="108">
        <f>IFERROR(lifespans_all!E198*DTE_mission_minutes!E42,"-")</f>
        <v>171572.29579277776</v>
      </c>
      <c r="F200" s="108">
        <f>IFERROR(lifespans_all!F198*DTE_mission_minutes!F42,"-")</f>
        <v>171572.29579277776</v>
      </c>
      <c r="G200" s="108">
        <f>IFERROR(lifespans_all!G198*DTE_mission_minutes!G42,"-")</f>
        <v>171572.29579277776</v>
      </c>
      <c r="H200" s="108">
        <f>IFERROR(lifespans_all!H198*DTE_mission_minutes!H42,"-")</f>
        <v>171572.29579277776</v>
      </c>
      <c r="I200" s="108">
        <f>IFERROR(lifespans_all!I198*DTE_mission_minutes!I42,"-")</f>
        <v>171572.29579277776</v>
      </c>
      <c r="J200" s="108">
        <f>IFERROR(lifespans_all!J198*DTE_mission_minutes!J42,"-")</f>
        <v>171572.29579277776</v>
      </c>
      <c r="K200" s="108">
        <f>IFERROR(lifespans_all!K198*DTE_mission_minutes!K42,"-")</f>
        <v>171572.29579277776</v>
      </c>
      <c r="L200" s="108">
        <f>IFERROR(lifespans_all!L198*DTE_mission_minutes!L42,"-")</f>
        <v>171572.29579277776</v>
      </c>
      <c r="M200" s="108">
        <f>IFERROR(lifespans_all!M198*DTE_mission_minutes!M42,"-")</f>
        <v>171572.29579277776</v>
      </c>
      <c r="N200" s="108">
        <f>IFERROR(lifespans_all!N198*DTE_mission_minutes!N42,"-")</f>
        <v>171572.29579277776</v>
      </c>
      <c r="O200" s="108">
        <f>IFERROR(lifespans_all!O198*DTE_mission_minutes!O42,"-")</f>
        <v>171572.29579277776</v>
      </c>
      <c r="P200" s="108">
        <f>IFERROR(lifespans_all!P198*DTE_mission_minutes!P42,"-")</f>
        <v>171572.29579277776</v>
      </c>
      <c r="Q200" s="108">
        <f>IFERROR(lifespans_all!Q198*DTE_mission_minutes!Q42,"-")</f>
        <v>171572.29579277776</v>
      </c>
      <c r="R200" s="108">
        <f>IFERROR(lifespans_all!R198*DTE_mission_minutes!R42,"-")</f>
        <v>171572.29579277776</v>
      </c>
      <c r="S200" s="108">
        <f>IFERROR(lifespans_all!S198*DTE_mission_minutes!S42,"-")</f>
        <v>171572.29579277776</v>
      </c>
      <c r="T200" s="108">
        <f>IFERROR(lifespans_all!T198*DTE_mission_minutes!T42,"-")</f>
        <v>171572.29579277776</v>
      </c>
      <c r="U200" s="108">
        <f>IFERROR(lifespans_all!U198*DTE_mission_minutes!U42,"-")</f>
        <v>171572.29579277776</v>
      </c>
      <c r="V200" s="108">
        <f>IFERROR(lifespans_all!V198*DTE_mission_minutes!V42,"-")</f>
        <v>171572.29579277776</v>
      </c>
    </row>
    <row r="201" spans="1:22" x14ac:dyDescent="0.25">
      <c r="A201" s="32" t="s">
        <v>64</v>
      </c>
      <c r="B201" s="33" t="s">
        <v>46</v>
      </c>
      <c r="C201" s="108" t="str">
        <f>IFERROR(lifespans_all!C199*DTE_mission_minutes!C43,"-")</f>
        <v>-</v>
      </c>
      <c r="D201" s="108" t="str">
        <f>IFERROR(lifespans_all!D199*DTE_mission_minutes!D43,"-")</f>
        <v>-</v>
      </c>
      <c r="E201" s="108" t="str">
        <f>IFERROR(lifespans_all!E199*DTE_mission_minutes!E43,"-")</f>
        <v>-</v>
      </c>
      <c r="F201" s="108" t="str">
        <f>IFERROR(lifespans_all!F199*DTE_mission_minutes!F43,"-")</f>
        <v>-</v>
      </c>
      <c r="G201" s="108" t="str">
        <f>IFERROR(lifespans_all!G199*DTE_mission_minutes!G43,"-")</f>
        <v>-</v>
      </c>
      <c r="H201" s="108" t="str">
        <f>IFERROR(lifespans_all!H199*DTE_mission_minutes!H43,"-")</f>
        <v>-</v>
      </c>
      <c r="I201" s="108" t="str">
        <f>IFERROR(lifespans_all!I199*DTE_mission_minutes!I43,"-")</f>
        <v>-</v>
      </c>
      <c r="J201" s="108" t="str">
        <f>IFERROR(lifespans_all!J199*DTE_mission_minutes!J43,"-")</f>
        <v>-</v>
      </c>
      <c r="K201" s="108" t="str">
        <f>IFERROR(lifespans_all!K199*DTE_mission_minutes!K43,"-")</f>
        <v>-</v>
      </c>
      <c r="L201" s="108" t="str">
        <f>IFERROR(lifespans_all!L199*DTE_mission_minutes!L43,"-")</f>
        <v>-</v>
      </c>
      <c r="M201" s="108" t="str">
        <f>IFERROR(lifespans_all!M199*DTE_mission_minutes!M43,"-")</f>
        <v>-</v>
      </c>
      <c r="N201" s="108" t="str">
        <f>IFERROR(lifespans_all!N199*DTE_mission_minutes!N43,"-")</f>
        <v>-</v>
      </c>
      <c r="O201" s="108" t="str">
        <f>IFERROR(lifespans_all!O199*DTE_mission_minutes!O43,"-")</f>
        <v>-</v>
      </c>
      <c r="P201" s="108" t="str">
        <f>IFERROR(lifespans_all!P199*DTE_mission_minutes!P43,"-")</f>
        <v>-</v>
      </c>
      <c r="Q201" s="108" t="str">
        <f>IFERROR(lifespans_all!Q199*DTE_mission_minutes!Q43,"-")</f>
        <v>-</v>
      </c>
      <c r="R201" s="108" t="str">
        <f>IFERROR(lifespans_all!R199*DTE_mission_minutes!R43,"-")</f>
        <v>-</v>
      </c>
      <c r="S201" s="108" t="str">
        <f>IFERROR(lifespans_all!S199*DTE_mission_minutes!S43,"-")</f>
        <v>-</v>
      </c>
      <c r="T201" s="108" t="str">
        <f>IFERROR(lifespans_all!T199*DTE_mission_minutes!T43,"-")</f>
        <v>-</v>
      </c>
      <c r="U201" s="108" t="str">
        <f>IFERROR(lifespans_all!U199*DTE_mission_minutes!U43,"-")</f>
        <v>-</v>
      </c>
      <c r="V201" s="108" t="str">
        <f>IFERROR(lifespans_all!V199*DTE_mission_minutes!V43,"-")</f>
        <v>-</v>
      </c>
    </row>
    <row r="202" spans="1:22" x14ac:dyDescent="0.25">
      <c r="A202" s="32" t="s">
        <v>65</v>
      </c>
      <c r="B202" s="33" t="s">
        <v>41</v>
      </c>
      <c r="C202" s="108">
        <f>IFERROR(lifespans_all!C200*DTE_mission_minutes!C44,"-")</f>
        <v>3017.8666666666668</v>
      </c>
      <c r="D202" s="108">
        <f>IFERROR(lifespans_all!D200*DTE_mission_minutes!D44,"-")</f>
        <v>3078.4611111111108</v>
      </c>
      <c r="E202" s="108">
        <f>IFERROR(lifespans_all!E200*DTE_mission_minutes!E44,"-")</f>
        <v>2765.7895222222219</v>
      </c>
      <c r="F202" s="108">
        <f>IFERROR(lifespans_all!F200*DTE_mission_minutes!F44,"-")</f>
        <v>3000.2460561111111</v>
      </c>
      <c r="G202" s="108">
        <f>IFERROR(lifespans_all!G200*DTE_mission_minutes!G44,"-")</f>
        <v>3000.2460561111111</v>
      </c>
      <c r="H202" s="108">
        <f>IFERROR(lifespans_all!H200*DTE_mission_minutes!H44,"-")</f>
        <v>3000.2460561111111</v>
      </c>
      <c r="I202" s="108">
        <f>IFERROR(lifespans_all!I200*DTE_mission_minutes!I44,"-")</f>
        <v>3000.2460561111111</v>
      </c>
      <c r="J202" s="108">
        <f>IFERROR(lifespans_all!J200*DTE_mission_minutes!J44,"-")</f>
        <v>0</v>
      </c>
      <c r="K202" s="108">
        <f>IFERROR(lifespans_all!K200*DTE_mission_minutes!K44,"-")</f>
        <v>0</v>
      </c>
      <c r="L202" s="108">
        <f>IFERROR(lifespans_all!L200*DTE_mission_minutes!L44,"-")</f>
        <v>0</v>
      </c>
      <c r="M202" s="108">
        <f>IFERROR(lifespans_all!M200*DTE_mission_minutes!M44,"-")</f>
        <v>0</v>
      </c>
      <c r="N202" s="108">
        <f>IFERROR(lifespans_all!N200*DTE_mission_minutes!N44,"-")</f>
        <v>0</v>
      </c>
      <c r="O202" s="108">
        <f>IFERROR(lifespans_all!O200*DTE_mission_minutes!O44,"-")</f>
        <v>0</v>
      </c>
      <c r="P202" s="108">
        <f>IFERROR(lifespans_all!P200*DTE_mission_minutes!P44,"-")</f>
        <v>0</v>
      </c>
      <c r="Q202" s="108">
        <f>IFERROR(lifespans_all!Q200*DTE_mission_minutes!Q44,"-")</f>
        <v>0</v>
      </c>
      <c r="R202" s="108">
        <f>IFERROR(lifespans_all!R200*DTE_mission_minutes!R44,"-")</f>
        <v>0</v>
      </c>
      <c r="S202" s="108">
        <f>IFERROR(lifespans_all!S200*DTE_mission_minutes!S44,"-")</f>
        <v>0</v>
      </c>
      <c r="T202" s="108">
        <f>IFERROR(lifespans_all!T200*DTE_mission_minutes!T44,"-")</f>
        <v>0</v>
      </c>
      <c r="U202" s="108">
        <f>IFERROR(lifespans_all!U200*DTE_mission_minutes!U44,"-")</f>
        <v>0</v>
      </c>
      <c r="V202" s="108">
        <f>IFERROR(lifespans_all!V200*DTE_mission_minutes!V44,"-")</f>
        <v>0</v>
      </c>
    </row>
    <row r="203" spans="1:22" x14ac:dyDescent="0.25">
      <c r="A203" s="32" t="s">
        <v>35</v>
      </c>
      <c r="B203" s="33" t="s">
        <v>40</v>
      </c>
      <c r="C203" s="108">
        <f>IFERROR(lifespans_all!C201*DTE_mission_minutes!C45,"-")</f>
        <v>2140.4341038095235</v>
      </c>
      <c r="D203" s="108">
        <f>IFERROR(lifespans_all!D201*DTE_mission_minutes!D45,"-")</f>
        <v>2140.4341038095235</v>
      </c>
      <c r="E203" s="108">
        <f>IFERROR(lifespans_all!E201*DTE_mission_minutes!E45,"-")</f>
        <v>0</v>
      </c>
      <c r="F203" s="108">
        <f>IFERROR(lifespans_all!F201*DTE_mission_minutes!F45,"-")</f>
        <v>0</v>
      </c>
      <c r="G203" s="108">
        <f>IFERROR(lifespans_all!G201*DTE_mission_minutes!G45,"-")</f>
        <v>0</v>
      </c>
      <c r="H203" s="108">
        <f>IFERROR(lifespans_all!H201*DTE_mission_minutes!H45,"-")</f>
        <v>0</v>
      </c>
      <c r="I203" s="108">
        <f>IFERROR(lifespans_all!I201*DTE_mission_minutes!I45,"-")</f>
        <v>0</v>
      </c>
      <c r="J203" s="108">
        <f>IFERROR(lifespans_all!J201*DTE_mission_minutes!J45,"-")</f>
        <v>0</v>
      </c>
      <c r="K203" s="108">
        <f>IFERROR(lifespans_all!K201*DTE_mission_minutes!K45,"-")</f>
        <v>0</v>
      </c>
      <c r="L203" s="108">
        <f>IFERROR(lifespans_all!L201*DTE_mission_minutes!L45,"-")</f>
        <v>0</v>
      </c>
      <c r="M203" s="108">
        <f>IFERROR(lifespans_all!M201*DTE_mission_minutes!M45,"-")</f>
        <v>0</v>
      </c>
      <c r="N203" s="108">
        <f>IFERROR(lifespans_all!N201*DTE_mission_minutes!N45,"-")</f>
        <v>0</v>
      </c>
      <c r="O203" s="108">
        <f>IFERROR(lifespans_all!O201*DTE_mission_minutes!O45,"-")</f>
        <v>0</v>
      </c>
      <c r="P203" s="108">
        <f>IFERROR(lifespans_all!P201*DTE_mission_minutes!P45,"-")</f>
        <v>0</v>
      </c>
      <c r="Q203" s="108">
        <f>IFERROR(lifespans_all!Q201*DTE_mission_minutes!Q45,"-")</f>
        <v>0</v>
      </c>
      <c r="R203" s="108">
        <f>IFERROR(lifespans_all!R201*DTE_mission_minutes!R45,"-")</f>
        <v>0</v>
      </c>
      <c r="S203" s="108">
        <f>IFERROR(lifespans_all!S201*DTE_mission_minutes!S45,"-")</f>
        <v>0</v>
      </c>
      <c r="T203" s="108">
        <f>IFERROR(lifespans_all!T201*DTE_mission_minutes!T45,"-")</f>
        <v>0</v>
      </c>
      <c r="U203" s="108">
        <f>IFERROR(lifespans_all!U201*DTE_mission_minutes!U45,"-")</f>
        <v>0</v>
      </c>
      <c r="V203" s="108">
        <f>IFERROR(lifespans_all!V201*DTE_mission_minutes!V45,"-")</f>
        <v>0</v>
      </c>
    </row>
    <row r="204" spans="1:22" x14ac:dyDescent="0.25">
      <c r="A204" s="32" t="s">
        <v>36</v>
      </c>
      <c r="B204" s="33" t="s">
        <v>40</v>
      </c>
      <c r="C204" s="108">
        <f>IFERROR(lifespans_all!C202*DTE_mission_minutes!C46,"-")</f>
        <v>2140.4341038095235</v>
      </c>
      <c r="D204" s="108">
        <f>IFERROR(lifespans_all!D202*DTE_mission_minutes!D46,"-")</f>
        <v>2140.4341038095235</v>
      </c>
      <c r="E204" s="108">
        <f>IFERROR(lifespans_all!E202*DTE_mission_minutes!E46,"-")</f>
        <v>0</v>
      </c>
      <c r="F204" s="108">
        <f>IFERROR(lifespans_all!F202*DTE_mission_minutes!F46,"-")</f>
        <v>0</v>
      </c>
      <c r="G204" s="108">
        <f>IFERROR(lifespans_all!G202*DTE_mission_minutes!G46,"-")</f>
        <v>0</v>
      </c>
      <c r="H204" s="108">
        <f>IFERROR(lifespans_all!H202*DTE_mission_minutes!H46,"-")</f>
        <v>0</v>
      </c>
      <c r="I204" s="108">
        <f>IFERROR(lifespans_all!I202*DTE_mission_minutes!I46,"-")</f>
        <v>0</v>
      </c>
      <c r="J204" s="108">
        <f>IFERROR(lifespans_all!J202*DTE_mission_minutes!J46,"-")</f>
        <v>0</v>
      </c>
      <c r="K204" s="108">
        <f>IFERROR(lifespans_all!K202*DTE_mission_minutes!K46,"-")</f>
        <v>0</v>
      </c>
      <c r="L204" s="108">
        <f>IFERROR(lifespans_all!L202*DTE_mission_minutes!L46,"-")</f>
        <v>0</v>
      </c>
      <c r="M204" s="108">
        <f>IFERROR(lifespans_all!M202*DTE_mission_minutes!M46,"-")</f>
        <v>0</v>
      </c>
      <c r="N204" s="108">
        <f>IFERROR(lifespans_all!N202*DTE_mission_minutes!N46,"-")</f>
        <v>0</v>
      </c>
      <c r="O204" s="108">
        <f>IFERROR(lifespans_all!O202*DTE_mission_minutes!O46,"-")</f>
        <v>0</v>
      </c>
      <c r="P204" s="108">
        <f>IFERROR(lifespans_all!P202*DTE_mission_minutes!P46,"-")</f>
        <v>0</v>
      </c>
      <c r="Q204" s="108">
        <f>IFERROR(lifespans_all!Q202*DTE_mission_minutes!Q46,"-")</f>
        <v>0</v>
      </c>
      <c r="R204" s="108">
        <f>IFERROR(lifespans_all!R202*DTE_mission_minutes!R46,"-")</f>
        <v>0</v>
      </c>
      <c r="S204" s="108">
        <f>IFERROR(lifespans_all!S202*DTE_mission_minutes!S46,"-")</f>
        <v>0</v>
      </c>
      <c r="T204" s="108">
        <f>IFERROR(lifespans_all!T202*DTE_mission_minutes!T46,"-")</f>
        <v>0</v>
      </c>
      <c r="U204" s="108">
        <f>IFERROR(lifespans_all!U202*DTE_mission_minutes!U46,"-")</f>
        <v>0</v>
      </c>
      <c r="V204" s="108">
        <f>IFERROR(lifespans_all!V202*DTE_mission_minutes!V46,"-")</f>
        <v>0</v>
      </c>
    </row>
    <row r="205" spans="1:22" x14ac:dyDescent="0.25">
      <c r="A205" s="32" t="s">
        <v>37</v>
      </c>
      <c r="B205" s="33" t="s">
        <v>40</v>
      </c>
      <c r="C205" s="108">
        <f>IFERROR(lifespans_all!C203*DTE_mission_minutes!C47,"-")</f>
        <v>2140.4341038095235</v>
      </c>
      <c r="D205" s="108">
        <f>IFERROR(lifespans_all!D203*DTE_mission_minutes!D47,"-")</f>
        <v>2140.4341038095235</v>
      </c>
      <c r="E205" s="108">
        <f>IFERROR(lifespans_all!E203*DTE_mission_minutes!E47,"-")</f>
        <v>0</v>
      </c>
      <c r="F205" s="108">
        <f>IFERROR(lifespans_all!F203*DTE_mission_minutes!F47,"-")</f>
        <v>0</v>
      </c>
      <c r="G205" s="108">
        <f>IFERROR(lifespans_all!G203*DTE_mission_minutes!G47,"-")</f>
        <v>0</v>
      </c>
      <c r="H205" s="108">
        <f>IFERROR(lifespans_all!H203*DTE_mission_minutes!H47,"-")</f>
        <v>0</v>
      </c>
      <c r="I205" s="108">
        <f>IFERROR(lifespans_all!I203*DTE_mission_minutes!I47,"-")</f>
        <v>0</v>
      </c>
      <c r="J205" s="108">
        <f>IFERROR(lifespans_all!J203*DTE_mission_minutes!J47,"-")</f>
        <v>0</v>
      </c>
      <c r="K205" s="108">
        <f>IFERROR(lifespans_all!K203*DTE_mission_minutes!K47,"-")</f>
        <v>0</v>
      </c>
      <c r="L205" s="108">
        <f>IFERROR(lifespans_all!L203*DTE_mission_minutes!L47,"-")</f>
        <v>0</v>
      </c>
      <c r="M205" s="108">
        <f>IFERROR(lifespans_all!M203*DTE_mission_minutes!M47,"-")</f>
        <v>0</v>
      </c>
      <c r="N205" s="108">
        <f>IFERROR(lifespans_all!N203*DTE_mission_minutes!N47,"-")</f>
        <v>0</v>
      </c>
      <c r="O205" s="108">
        <f>IFERROR(lifespans_all!O203*DTE_mission_minutes!O47,"-")</f>
        <v>0</v>
      </c>
      <c r="P205" s="108">
        <f>IFERROR(lifespans_all!P203*DTE_mission_minutes!P47,"-")</f>
        <v>0</v>
      </c>
      <c r="Q205" s="108">
        <f>IFERROR(lifespans_all!Q203*DTE_mission_minutes!Q47,"-")</f>
        <v>0</v>
      </c>
      <c r="R205" s="108">
        <f>IFERROR(lifespans_all!R203*DTE_mission_minutes!R47,"-")</f>
        <v>0</v>
      </c>
      <c r="S205" s="108">
        <f>IFERROR(lifespans_all!S203*DTE_mission_minutes!S47,"-")</f>
        <v>0</v>
      </c>
      <c r="T205" s="108">
        <f>IFERROR(lifespans_all!T203*DTE_mission_minutes!T47,"-")</f>
        <v>0</v>
      </c>
      <c r="U205" s="108">
        <f>IFERROR(lifespans_all!U203*DTE_mission_minutes!U47,"-")</f>
        <v>0</v>
      </c>
      <c r="V205" s="108">
        <f>IFERROR(lifespans_all!V203*DTE_mission_minutes!V47,"-")</f>
        <v>0</v>
      </c>
    </row>
    <row r="206" spans="1:22" x14ac:dyDescent="0.25">
      <c r="A206" s="32" t="s">
        <v>38</v>
      </c>
      <c r="B206" s="33" t="s">
        <v>41</v>
      </c>
      <c r="C206" s="108">
        <f>IFERROR(lifespans_all!C204*DTE_mission_minutes!C48,"-")</f>
        <v>133409.35004928565</v>
      </c>
      <c r="D206" s="108">
        <f>IFERROR(lifespans_all!D204*DTE_mission_minutes!D48,"-")</f>
        <v>0</v>
      </c>
      <c r="E206" s="108">
        <f>IFERROR(lifespans_all!E204*DTE_mission_minutes!E48,"-")</f>
        <v>0</v>
      </c>
      <c r="F206" s="108">
        <f>IFERROR(lifespans_all!F204*DTE_mission_minutes!F48,"-")</f>
        <v>0</v>
      </c>
      <c r="G206" s="108">
        <f>IFERROR(lifespans_all!G204*DTE_mission_minutes!G48,"-")</f>
        <v>0</v>
      </c>
      <c r="H206" s="108">
        <f>IFERROR(lifespans_all!H204*DTE_mission_minutes!H48,"-")</f>
        <v>0</v>
      </c>
      <c r="I206" s="108">
        <f>IFERROR(lifespans_all!I204*DTE_mission_minutes!I48,"-")</f>
        <v>0</v>
      </c>
      <c r="J206" s="108">
        <f>IFERROR(lifespans_all!J204*DTE_mission_minutes!J48,"-")</f>
        <v>0</v>
      </c>
      <c r="K206" s="108">
        <f>IFERROR(lifespans_all!K204*DTE_mission_minutes!K48,"-")</f>
        <v>0</v>
      </c>
      <c r="L206" s="108">
        <f>IFERROR(lifespans_all!L204*DTE_mission_minutes!L48,"-")</f>
        <v>0</v>
      </c>
      <c r="M206" s="108">
        <f>IFERROR(lifespans_all!M204*DTE_mission_minutes!M48,"-")</f>
        <v>0</v>
      </c>
      <c r="N206" s="108">
        <f>IFERROR(lifespans_all!N204*DTE_mission_minutes!N48,"-")</f>
        <v>0</v>
      </c>
      <c r="O206" s="108">
        <f>IFERROR(lifespans_all!O204*DTE_mission_minutes!O48,"-")</f>
        <v>0</v>
      </c>
      <c r="P206" s="108">
        <f>IFERROR(lifespans_all!P204*DTE_mission_minutes!P48,"-")</f>
        <v>0</v>
      </c>
      <c r="Q206" s="108">
        <f>IFERROR(lifespans_all!Q204*DTE_mission_minutes!Q48,"-")</f>
        <v>0</v>
      </c>
      <c r="R206" s="108">
        <f>IFERROR(lifespans_all!R204*DTE_mission_minutes!R48,"-")</f>
        <v>0</v>
      </c>
      <c r="S206" s="108">
        <f>IFERROR(lifespans_all!S204*DTE_mission_minutes!S48,"-")</f>
        <v>0</v>
      </c>
      <c r="T206" s="108">
        <f>IFERROR(lifespans_all!T204*DTE_mission_minutes!T48,"-")</f>
        <v>0</v>
      </c>
      <c r="U206" s="108">
        <f>IFERROR(lifespans_all!U204*DTE_mission_minutes!U48,"-")</f>
        <v>0</v>
      </c>
      <c r="V206" s="108">
        <f>IFERROR(lifespans_all!V204*DTE_mission_minutes!V48,"-")</f>
        <v>0</v>
      </c>
    </row>
    <row r="207" spans="1:22" x14ac:dyDescent="0.25">
      <c r="A207" s="24" t="str">
        <f t="shared" ref="A207:B214" si="29">A49</f>
        <v>New</v>
      </c>
      <c r="B207" s="24" t="str">
        <f t="shared" si="29"/>
        <v>Human Space Flight</v>
      </c>
      <c r="C207" s="108">
        <f>IFERROR((lifespans_all!C205*DTE_mission_minutes!C49)*POWER(1+(Historical_Cost!$C$88/100),C$1-2021),"-")</f>
        <v>-85786.14789638888</v>
      </c>
      <c r="D207" s="108">
        <f>IFERROR((lifespans_all!D205*DTE_mission_minutes!D49)*POWER(1+(Historical_Cost!$C$88/100),D$1-2021),"-")</f>
        <v>-175003.74170863332</v>
      </c>
      <c r="E207" s="108">
        <f>IFERROR((lifespans_all!E205*DTE_mission_minutes!E49)*POWER(1+(Historical_Cost!$C$88/100),E$1-2021),"-")</f>
        <v>-267755.72481420898</v>
      </c>
      <c r="F207" s="108">
        <f>IFERROR((lifespans_all!F205*DTE_mission_minutes!F49)*POWER(1+(Historical_Cost!$C$88/100),F$1-2021),"-")</f>
        <v>-364147.78574732417</v>
      </c>
      <c r="G207" s="108">
        <f>IFERROR((lifespans_all!G205*DTE_mission_minutes!G49)*POWER(1+(Historical_Cost!$C$88/100),G$1-2021),"-")</f>
        <v>-464288.42682783835</v>
      </c>
      <c r="H207" s="108">
        <f>IFERROR((lifespans_all!H205*DTE_mission_minutes!H49)*POWER(1+(Historical_Cost!$C$88/100),H$1-2021),"-")</f>
        <v>-568289.03443727409</v>
      </c>
      <c r="I207" s="108">
        <f>IFERROR((lifespans_all!I205*DTE_mission_minutes!I49)*POWER(1+(Historical_Cost!$C$88/100),I$1-2021),"-")</f>
        <v>-676263.95098035631</v>
      </c>
      <c r="J207" s="108">
        <f>IFERROR((lifespans_all!J205*DTE_mission_minutes!J49)*POWER(1+(Historical_Cost!$C$88/100),J$1-2021),"-")</f>
        <v>-788330.54857138661</v>
      </c>
      <c r="K207" s="108">
        <f>IFERROR((lifespans_all!K205*DTE_mission_minutes!K49)*POWER(1+(Historical_Cost!$C$88/100),K$1-2021),"-")</f>
        <v>-904609.30448566622</v>
      </c>
      <c r="L207" s="108">
        <f>IFERROR((lifespans_all!L205*DTE_mission_minutes!L49)*POWER(1+(Historical_Cost!$C$88/100),L$1-2021),"-")</f>
        <v>-1025223.8784170884</v>
      </c>
      <c r="M207" s="108">
        <f>IFERROR((lifespans_all!M205*DTE_mission_minutes!M49)*POWER(1+(Historical_Cost!$C$88/100),M$1-2021),"-")</f>
        <v>-627437.01359125809</v>
      </c>
      <c r="N207" s="108">
        <f>IFERROR((lifespans_all!N205*DTE_mission_minutes!N49)*POWER(1+(Historical_Cost!$C$88/100),N$1-2021),"-")</f>
        <v>-639985.75386308308</v>
      </c>
      <c r="O207" s="108">
        <f>IFERROR((lifespans_all!O205*DTE_mission_minutes!O49)*POWER(1+(Historical_Cost!$C$88/100),O$1-2021),"-")</f>
        <v>-652785.46894034487</v>
      </c>
      <c r="P207" s="108">
        <f>IFERROR((lifespans_all!P205*DTE_mission_minutes!P49)*POWER(1+(Historical_Cost!$C$88/100),P$1-2021),"-")</f>
        <v>-665841.17831915175</v>
      </c>
      <c r="Q207" s="108">
        <f>IFERROR((lifespans_all!Q205*DTE_mission_minutes!Q49)*POWER(1+(Historical_Cost!$C$88/100),Q$1-2021),"-")</f>
        <v>-679158.00188553485</v>
      </c>
      <c r="R207" s="108">
        <f>IFERROR((lifespans_all!R205*DTE_mission_minutes!R49)*POWER(1+(Historical_Cost!$C$88/100),R$1-2021),"-")</f>
        <v>-692741.16192324529</v>
      </c>
      <c r="S207" s="108">
        <f>IFERROR((lifespans_all!S205*DTE_mission_minutes!S49)*POWER(1+(Historical_Cost!$C$88/100),S$1-2021),"-")</f>
        <v>-706595.98516171041</v>
      </c>
      <c r="T207" s="108">
        <f>IFERROR((lifespans_all!T205*DTE_mission_minutes!T49)*POWER(1+(Historical_Cost!$C$88/100),T$1-2021),"-")</f>
        <v>-720727.90486494463</v>
      </c>
      <c r="U207" s="108">
        <f>IFERROR((lifespans_all!U205*DTE_mission_minutes!U49)*POWER(1+(Historical_Cost!$C$88/100),U$1-2021),"-")</f>
        <v>-735142.46296224347</v>
      </c>
      <c r="V207" s="108">
        <f>IFERROR((lifespans_all!V205*DTE_mission_minutes!V49)*POWER(1+(Historical_Cost!$C$88/100),V$1-2021),"-")</f>
        <v>-749845.31222148833</v>
      </c>
    </row>
    <row r="208" spans="1:22" x14ac:dyDescent="0.25">
      <c r="A208" s="24" t="str">
        <f t="shared" si="29"/>
        <v>New</v>
      </c>
      <c r="B208" s="24" t="str">
        <f t="shared" si="29"/>
        <v>Near Earth Robotic - LEO Science</v>
      </c>
      <c r="C208" s="108">
        <f>IFERROR((lifespans_all!C206*DTE_mission_minutes!C50)*POWER(1+(Historical_Cost!$C$88/100),C$1-2021),"-")</f>
        <v>0</v>
      </c>
      <c r="D208" s="108">
        <f>IFERROR((lifespans_all!D206*DTE_mission_minutes!D50)*POWER(1+(Historical_Cost!$C$88/100),D$1-2021),"-")</f>
        <v>51266.959256333335</v>
      </c>
      <c r="E208" s="108">
        <f>IFERROR((lifespans_all!E206*DTE_mission_minutes!E50)*POWER(1+(Historical_Cost!$C$88/100),E$1-2021),"-")</f>
        <v>67942.500188039994</v>
      </c>
      <c r="F208" s="108">
        <f>IFERROR((lifespans_all!F206*DTE_mission_minutes!F50)*POWER(1+(Historical_Cost!$C$88/100),F$1-2021),"-")</f>
        <v>141358.74687794162</v>
      </c>
      <c r="G208" s="108">
        <f>IFERROR((lifespans_all!G206*DTE_mission_minutes!G50)*POWER(1+(Historical_Cost!$C$88/100),G$1-2021),"-")</f>
        <v>230697.47490480071</v>
      </c>
      <c r="H208" s="108">
        <f>IFERROR((lifespans_all!H206*DTE_mission_minutes!H50)*POWER(1+(Historical_Cost!$C$88/100),H$1-2021),"-")</f>
        <v>323553.20855398302</v>
      </c>
      <c r="I208" s="108">
        <f>IFERROR((lifespans_all!I206*DTE_mission_minutes!I50)*POWER(1+(Historical_Cost!$C$88/100),I$1-2021),"-")</f>
        <v>420030.89255917066</v>
      </c>
      <c r="J208" s="108">
        <f>IFERROR((lifespans_all!J206*DTE_mission_minutes!J50)*POWER(1+(Historical_Cost!$C$88/100),J$1-2021),"-")</f>
        <v>489636.01189754746</v>
      </c>
      <c r="K208" s="108">
        <f>IFERROR((lifespans_all!K206*DTE_mission_minutes!K50)*POWER(1+(Historical_Cost!$C$88/100),K$1-2021),"-")</f>
        <v>499428.73213549843</v>
      </c>
      <c r="L208" s="108">
        <f>IFERROR((lifespans_all!L206*DTE_mission_minutes!L50)*POWER(1+(Historical_Cost!$C$88/100),L$1-2021),"-")</f>
        <v>509417.30677820841</v>
      </c>
      <c r="M208" s="108">
        <f>IFERROR((lifespans_all!M206*DTE_mission_minutes!M50)*POWER(1+(Historical_Cost!$C$88/100),M$1-2021),"-")</f>
        <v>519605.65291377262</v>
      </c>
      <c r="N208" s="108">
        <f>IFERROR((lifespans_all!N206*DTE_mission_minutes!N50)*POWER(1+(Historical_Cost!$C$88/100),N$1-2021),"-")</f>
        <v>529997.76597204793</v>
      </c>
      <c r="O208" s="108">
        <f>IFERROR((lifespans_all!O206*DTE_mission_minutes!O50)*POWER(1+(Historical_Cost!$C$88/100),O$1-2021),"-")</f>
        <v>540597.72129148897</v>
      </c>
      <c r="P208" s="108">
        <f>IFERROR((lifespans_all!P206*DTE_mission_minutes!P50)*POWER(1+(Historical_Cost!$C$88/100),P$1-2021),"-")</f>
        <v>551409.67571731878</v>
      </c>
      <c r="Q208" s="108">
        <f>IFERROR((lifespans_all!Q206*DTE_mission_minutes!Q50)*POWER(1+(Historical_Cost!$C$88/100),Q$1-2021),"-")</f>
        <v>562437.86923166516</v>
      </c>
      <c r="R208" s="108">
        <f>IFERROR((lifespans_all!R206*DTE_mission_minutes!R50)*POWER(1+(Historical_Cost!$C$88/100),R$1-2021),"-")</f>
        <v>573686.62661629834</v>
      </c>
      <c r="S208" s="108">
        <f>IFERROR((lifespans_all!S206*DTE_mission_minutes!S50)*POWER(1+(Historical_Cost!$C$88/100),S$1-2021),"-")</f>
        <v>585160.35914862435</v>
      </c>
      <c r="T208" s="108">
        <f>IFERROR((lifespans_all!T206*DTE_mission_minutes!T50)*POWER(1+(Historical_Cost!$C$88/100),T$1-2021),"-")</f>
        <v>596863.56633159693</v>
      </c>
      <c r="U208" s="108">
        <f>IFERROR((lifespans_all!U206*DTE_mission_minutes!U50)*POWER(1+(Historical_Cost!$C$88/100),U$1-2021),"-")</f>
        <v>608800.83765822882</v>
      </c>
      <c r="V208" s="108">
        <f>IFERROR((lifespans_all!V206*DTE_mission_minutes!V50)*POWER(1+(Historical_Cost!$C$88/100),V$1-2021),"-")</f>
        <v>620976.8544113934</v>
      </c>
    </row>
    <row r="209" spans="1:22" x14ac:dyDescent="0.25">
      <c r="A209" s="24" t="str">
        <f t="shared" si="29"/>
        <v>New</v>
      </c>
      <c r="B209" s="24" t="str">
        <f t="shared" si="29"/>
        <v>Near Earth Robotic - GEO and Near Earth</v>
      </c>
      <c r="C209" s="108">
        <f>IFERROR((lifespans_all!C207*DTE_mission_minutes!C51)*POWER(1+(Historical_Cost!$C$88/100),C$1-2021),"-")</f>
        <v>0</v>
      </c>
      <c r="D209" s="108">
        <f>IFERROR((lifespans_all!D207*DTE_mission_minutes!D51)*POWER(1+(Historical_Cost!$C$88/100),D$1-2021),"-")</f>
        <v>0</v>
      </c>
      <c r="E209" s="108">
        <f>IFERROR((lifespans_all!E207*DTE_mission_minutes!E51)*POWER(1+(Historical_Cost!$C$88/100),E$1-2021),"-")</f>
        <v>8907.6305664137126</v>
      </c>
      <c r="F209" s="108">
        <f>IFERROR((lifespans_all!F207*DTE_mission_minutes!F51)*POWER(1+(Historical_Cost!$C$88/100),F$1-2021),"-")</f>
        <v>9085.7831777419869</v>
      </c>
      <c r="G209" s="108">
        <f>IFERROR((lifespans_all!G207*DTE_mission_minutes!G51)*POWER(1+(Historical_Cost!$C$88/100),G$1-2021),"-")</f>
        <v>9267.4988412968269</v>
      </c>
      <c r="H209" s="108">
        <f>IFERROR((lifespans_all!H207*DTE_mission_minutes!H51)*POWER(1+(Historical_Cost!$C$88/100),H$1-2021),"-")</f>
        <v>9452.848818122764</v>
      </c>
      <c r="I209" s="108">
        <f>IFERROR((lifespans_all!I207*DTE_mission_minutes!I51)*POWER(1+(Historical_Cost!$C$88/100),I$1-2021),"-")</f>
        <v>9641.9057944852193</v>
      </c>
      <c r="J209" s="108">
        <f>IFERROR((lifespans_all!J207*DTE_mission_minutes!J51)*POWER(1+(Historical_Cost!$C$88/100),J$1-2021),"-")</f>
        <v>9834.7439103749221</v>
      </c>
      <c r="K209" s="108">
        <f>IFERROR((lifespans_all!K207*DTE_mission_minutes!K51)*POWER(1+(Historical_Cost!$C$88/100),K$1-2021),"-")</f>
        <v>10031.438788582422</v>
      </c>
      <c r="L209" s="108">
        <f>IFERROR((lifespans_all!L207*DTE_mission_minutes!L51)*POWER(1+(Historical_Cost!$C$88/100),L$1-2021),"-")</f>
        <v>10232.067564354069</v>
      </c>
      <c r="M209" s="108">
        <f>IFERROR((lifespans_all!M207*DTE_mission_minutes!M51)*POWER(1+(Historical_Cost!$C$88/100),M$1-2021),"-")</f>
        <v>10436.708915641151</v>
      </c>
      <c r="N209" s="108">
        <f>IFERROR((lifespans_all!N207*DTE_mission_minutes!N51)*POWER(1+(Historical_Cost!$C$88/100),N$1-2021),"-")</f>
        <v>10645.443093953972</v>
      </c>
      <c r="O209" s="108">
        <f>IFERROR((lifespans_all!O207*DTE_mission_minutes!O51)*POWER(1+(Historical_Cost!$C$88/100),O$1-2021),"-")</f>
        <v>10858.351955833054</v>
      </c>
      <c r="P209" s="108">
        <f>IFERROR((lifespans_all!P207*DTE_mission_minutes!P51)*POWER(1+(Historical_Cost!$C$88/100),P$1-2021),"-")</f>
        <v>11075.518994949714</v>
      </c>
      <c r="Q209" s="108">
        <f>IFERROR((lifespans_all!Q207*DTE_mission_minutes!Q51)*POWER(1+(Historical_Cost!$C$88/100),Q$1-2021),"-")</f>
        <v>11297.029374848709</v>
      </c>
      <c r="R209" s="108">
        <f>IFERROR((lifespans_all!R207*DTE_mission_minutes!R51)*POWER(1+(Historical_Cost!$C$88/100),R$1-2021),"-")</f>
        <v>11522.96996234568</v>
      </c>
      <c r="S209" s="108">
        <f>IFERROR((lifespans_all!S207*DTE_mission_minutes!S51)*POWER(1+(Historical_Cost!$C$88/100),S$1-2021),"-")</f>
        <v>11753.429361592596</v>
      </c>
      <c r="T209" s="108">
        <f>IFERROR((lifespans_all!T207*DTE_mission_minutes!T51)*POWER(1+(Historical_Cost!$C$88/100),T$1-2021),"-")</f>
        <v>11988.49794882445</v>
      </c>
      <c r="U209" s="108">
        <f>IFERROR((lifespans_all!U207*DTE_mission_minutes!U51)*POWER(1+(Historical_Cost!$C$88/100),U$1-2021),"-")</f>
        <v>12228.267907800937</v>
      </c>
      <c r="V209" s="108">
        <f>IFERROR((lifespans_all!V207*DTE_mission_minutes!V51)*POWER(1+(Historical_Cost!$C$88/100),V$1-2021),"-")</f>
        <v>12472.833265956955</v>
      </c>
    </row>
    <row r="210" spans="1:22" x14ac:dyDescent="0.25">
      <c r="A210" s="24" t="str">
        <f t="shared" si="29"/>
        <v>New</v>
      </c>
      <c r="B210" s="24" t="str">
        <f t="shared" si="29"/>
        <v>Deep Space Robotic</v>
      </c>
      <c r="C210" s="108" t="str">
        <f>IFERROR((lifespans_all!C208*DTE_mission_minutes!C52)*POWER(1+(Historical_Cost!$C$88/100),C$1-2021),"-")</f>
        <v>-</v>
      </c>
      <c r="D210" s="108" t="str">
        <f>IFERROR((lifespans_all!D208*DTE_mission_minutes!D52)*POWER(1+(Historical_Cost!$C$88/100),D$1-2021),"-")</f>
        <v>-</v>
      </c>
      <c r="E210" s="108" t="str">
        <f>IFERROR((lifespans_all!E208*DTE_mission_minutes!E52)*POWER(1+(Historical_Cost!$C$88/100),E$1-2021),"-")</f>
        <v>-</v>
      </c>
      <c r="F210" s="108" t="str">
        <f>IFERROR((lifespans_all!F208*DTE_mission_minutes!F52)*POWER(1+(Historical_Cost!$C$88/100),F$1-2021),"-")</f>
        <v>-</v>
      </c>
      <c r="G210" s="108" t="str">
        <f>IFERROR((lifespans_all!G208*DTE_mission_minutes!G52)*POWER(1+(Historical_Cost!$C$88/100),G$1-2021),"-")</f>
        <v>-</v>
      </c>
      <c r="H210" s="108" t="str">
        <f>IFERROR((lifespans_all!H208*DTE_mission_minutes!H52)*POWER(1+(Historical_Cost!$C$88/100),H$1-2021),"-")</f>
        <v>-</v>
      </c>
      <c r="I210" s="108" t="str">
        <f>IFERROR((lifespans_all!I208*DTE_mission_minutes!I52)*POWER(1+(Historical_Cost!$C$88/100),I$1-2021),"-")</f>
        <v>-</v>
      </c>
      <c r="J210" s="108" t="str">
        <f>IFERROR((lifespans_all!J208*DTE_mission_minutes!J52)*POWER(1+(Historical_Cost!$C$88/100),J$1-2021),"-")</f>
        <v>-</v>
      </c>
      <c r="K210" s="108" t="str">
        <f>IFERROR((lifespans_all!K208*DTE_mission_minutes!K52)*POWER(1+(Historical_Cost!$C$88/100),K$1-2021),"-")</f>
        <v>-</v>
      </c>
      <c r="L210" s="108" t="str">
        <f>IFERROR((lifespans_all!L208*DTE_mission_minutes!L52)*POWER(1+(Historical_Cost!$C$88/100),L$1-2021),"-")</f>
        <v>-</v>
      </c>
      <c r="M210" s="108" t="str">
        <f>IFERROR((lifespans_all!M208*DTE_mission_minutes!M52)*POWER(1+(Historical_Cost!$C$88/100),M$1-2021),"-")</f>
        <v>-</v>
      </c>
      <c r="N210" s="108" t="str">
        <f>IFERROR((lifespans_all!N208*DTE_mission_minutes!N52)*POWER(1+(Historical_Cost!$C$88/100),N$1-2021),"-")</f>
        <v>-</v>
      </c>
      <c r="O210" s="108" t="str">
        <f>IFERROR((lifespans_all!O208*DTE_mission_minutes!O52)*POWER(1+(Historical_Cost!$C$88/100),O$1-2021),"-")</f>
        <v>-</v>
      </c>
      <c r="P210" s="108" t="str">
        <f>IFERROR((lifespans_all!P208*DTE_mission_minutes!P52)*POWER(1+(Historical_Cost!$C$88/100),P$1-2021),"-")</f>
        <v>-</v>
      </c>
      <c r="Q210" s="108" t="str">
        <f>IFERROR((lifespans_all!Q208*DTE_mission_minutes!Q52)*POWER(1+(Historical_Cost!$C$88/100),Q$1-2021),"-")</f>
        <v>-</v>
      </c>
      <c r="R210" s="108" t="str">
        <f>IFERROR((lifespans_all!R208*DTE_mission_minutes!R52)*POWER(1+(Historical_Cost!$C$88/100),R$1-2021),"-")</f>
        <v>-</v>
      </c>
      <c r="S210" s="108" t="str">
        <f>IFERROR((lifespans_all!S208*DTE_mission_minutes!S52)*POWER(1+(Historical_Cost!$C$88/100),S$1-2021),"-")</f>
        <v>-</v>
      </c>
      <c r="T210" s="108" t="str">
        <f>IFERROR((lifespans_all!T208*DTE_mission_minutes!T52)*POWER(1+(Historical_Cost!$C$88/100),T$1-2021),"-")</f>
        <v>-</v>
      </c>
      <c r="U210" s="108" t="str">
        <f>IFERROR((lifespans_all!U208*DTE_mission_minutes!U52)*POWER(1+(Historical_Cost!$C$88/100),U$1-2021),"-")</f>
        <v>-</v>
      </c>
      <c r="V210" s="108" t="str">
        <f>IFERROR((lifespans_all!V208*DTE_mission_minutes!V52)*POWER(1+(Historical_Cost!$C$88/100),V$1-2021),"-")</f>
        <v>-</v>
      </c>
    </row>
    <row r="211" spans="1:22" x14ac:dyDescent="0.25">
      <c r="A211" s="24" t="str">
        <f t="shared" si="29"/>
        <v>New</v>
      </c>
      <c r="B211" s="24" t="str">
        <f t="shared" si="29"/>
        <v>Near Earth Robotic - Low Latency &amp; Complex Needs</v>
      </c>
      <c r="C211" s="108">
        <f>IFERROR((lifespans_all!C209*DTE_mission_minutes!C53)*POWER(1+(Historical_Cost!$C$88/100),C$1-2021),"-")</f>
        <v>0</v>
      </c>
      <c r="D211" s="108">
        <f>IFERROR((lifespans_all!D209*DTE_mission_minutes!D53)*POWER(1+(Historical_Cost!$C$88/100),D$1-2021),"-")</f>
        <v>0</v>
      </c>
      <c r="E211" s="108">
        <f>IFERROR((lifespans_all!E209*DTE_mission_minutes!E53)*POWER(1+(Historical_Cost!$C$88/100),E$1-2021),"-")</f>
        <v>0</v>
      </c>
      <c r="F211" s="108">
        <f>IFERROR((lifespans_all!F209*DTE_mission_minutes!F53)*POWER(1+(Historical_Cost!$C$88/100),F$1-2021),"-")</f>
        <v>0</v>
      </c>
      <c r="G211" s="108">
        <f>IFERROR((lifespans_all!G209*DTE_mission_minutes!G53)*POWER(1+(Historical_Cost!$C$88/100),G$1-2021),"-")</f>
        <v>0</v>
      </c>
      <c r="H211" s="108">
        <f>IFERROR((lifespans_all!H209*DTE_mission_minutes!H53)*POWER(1+(Historical_Cost!$C$88/100),H$1-2021),"-")</f>
        <v>0</v>
      </c>
      <c r="I211" s="108">
        <f>IFERROR((lifespans_all!I209*DTE_mission_minutes!I53)*POWER(1+(Historical_Cost!$C$88/100),I$1-2021),"-")</f>
        <v>0</v>
      </c>
      <c r="J211" s="108">
        <f>IFERROR((lifespans_all!J209*DTE_mission_minutes!J53)*POWER(1+(Historical_Cost!$C$88/100),J$1-2021),"-")</f>
        <v>0</v>
      </c>
      <c r="K211" s="108">
        <f>IFERROR((lifespans_all!K209*DTE_mission_minutes!K53)*POWER(1+(Historical_Cost!$C$88/100),K$1-2021),"-")</f>
        <v>0</v>
      </c>
      <c r="L211" s="108">
        <f>IFERROR((lifespans_all!L209*DTE_mission_minutes!L53)*POWER(1+(Historical_Cost!$C$88/100),L$1-2021),"-")</f>
        <v>0</v>
      </c>
      <c r="M211" s="108">
        <f>IFERROR((lifespans_all!M209*DTE_mission_minutes!M53)*POWER(1+(Historical_Cost!$C$88/100),M$1-2021),"-")</f>
        <v>0</v>
      </c>
      <c r="N211" s="108">
        <f>IFERROR((lifespans_all!N209*DTE_mission_minutes!N53)*POWER(1+(Historical_Cost!$C$88/100),N$1-2021),"-")</f>
        <v>0</v>
      </c>
      <c r="O211" s="108">
        <f>IFERROR((lifespans_all!O209*DTE_mission_minutes!O53)*POWER(1+(Historical_Cost!$C$88/100),O$1-2021),"-")</f>
        <v>0</v>
      </c>
      <c r="P211" s="108">
        <f>IFERROR((lifespans_all!P209*DTE_mission_minutes!P53)*POWER(1+(Historical_Cost!$C$88/100),P$1-2021),"-")</f>
        <v>0</v>
      </c>
      <c r="Q211" s="108">
        <f>IFERROR((lifespans_all!Q209*DTE_mission_minutes!Q53)*POWER(1+(Historical_Cost!$C$88/100),Q$1-2021),"-")</f>
        <v>0</v>
      </c>
      <c r="R211" s="108">
        <f>IFERROR((lifespans_all!R209*DTE_mission_minutes!R53)*POWER(1+(Historical_Cost!$C$88/100),R$1-2021),"-")</f>
        <v>0</v>
      </c>
      <c r="S211" s="108">
        <f>IFERROR((lifespans_all!S209*DTE_mission_minutes!S53)*POWER(1+(Historical_Cost!$C$88/100),S$1-2021),"-")</f>
        <v>0</v>
      </c>
      <c r="T211" s="108">
        <f>IFERROR((lifespans_all!T209*DTE_mission_minutes!T53)*POWER(1+(Historical_Cost!$C$88/100),T$1-2021),"-")</f>
        <v>0</v>
      </c>
      <c r="U211" s="108">
        <f>IFERROR((lifespans_all!U209*DTE_mission_minutes!U53)*POWER(1+(Historical_Cost!$C$88/100),U$1-2021),"-")</f>
        <v>0</v>
      </c>
      <c r="V211" s="108">
        <f>IFERROR((lifespans_all!V209*DTE_mission_minutes!V53)*POWER(1+(Historical_Cost!$C$88/100),V$1-2021),"-")</f>
        <v>0</v>
      </c>
    </row>
    <row r="212" spans="1:22" x14ac:dyDescent="0.25">
      <c r="A212" s="24" t="str">
        <f t="shared" si="29"/>
        <v>New</v>
      </c>
      <c r="B212" s="24" t="str">
        <f t="shared" si="29"/>
        <v>Mission Operations</v>
      </c>
      <c r="C212" s="108" t="str">
        <f>IFERROR((lifespans_all!C210*DTE_mission_minutes!C54)*POWER(1+(Historical_Cost!$C$88/100),C$1-2021),"-")</f>
        <v>-</v>
      </c>
      <c r="D212" s="108" t="str">
        <f>IFERROR((lifespans_all!D210*DTE_mission_minutes!D54)*POWER(1+(Historical_Cost!$C$88/100),D$1-2021),"-")</f>
        <v>-</v>
      </c>
      <c r="E212" s="108" t="str">
        <f>IFERROR((lifespans_all!E210*DTE_mission_minutes!E54)*POWER(1+(Historical_Cost!$C$88/100),E$1-2021),"-")</f>
        <v>-</v>
      </c>
      <c r="F212" s="108" t="str">
        <f>IFERROR((lifespans_all!F210*DTE_mission_minutes!F54)*POWER(1+(Historical_Cost!$C$88/100),F$1-2021),"-")</f>
        <v>-</v>
      </c>
      <c r="G212" s="108" t="str">
        <f>IFERROR((lifespans_all!G210*DTE_mission_minutes!G54)*POWER(1+(Historical_Cost!$C$88/100),G$1-2021),"-")</f>
        <v>-</v>
      </c>
      <c r="H212" s="108" t="str">
        <f>IFERROR((lifespans_all!H210*DTE_mission_minutes!H54)*POWER(1+(Historical_Cost!$C$88/100),H$1-2021),"-")</f>
        <v>-</v>
      </c>
      <c r="I212" s="108" t="str">
        <f>IFERROR((lifespans_all!I210*DTE_mission_minutes!I54)*POWER(1+(Historical_Cost!$C$88/100),I$1-2021),"-")</f>
        <v>-</v>
      </c>
      <c r="J212" s="108" t="str">
        <f>IFERROR((lifespans_all!J210*DTE_mission_minutes!J54)*POWER(1+(Historical_Cost!$C$88/100),J$1-2021),"-")</f>
        <v>-</v>
      </c>
      <c r="K212" s="108" t="str">
        <f>IFERROR((lifespans_all!K210*DTE_mission_minutes!K54)*POWER(1+(Historical_Cost!$C$88/100),K$1-2021),"-")</f>
        <v>-</v>
      </c>
      <c r="L212" s="108" t="str">
        <f>IFERROR((lifespans_all!L210*DTE_mission_minutes!L54)*POWER(1+(Historical_Cost!$C$88/100),L$1-2021),"-")</f>
        <v>-</v>
      </c>
      <c r="M212" s="108" t="str">
        <f>IFERROR((lifespans_all!M210*DTE_mission_minutes!M54)*POWER(1+(Historical_Cost!$C$88/100),M$1-2021),"-")</f>
        <v>-</v>
      </c>
      <c r="N212" s="108" t="str">
        <f>IFERROR((lifespans_all!N210*DTE_mission_minutes!N54)*POWER(1+(Historical_Cost!$C$88/100),N$1-2021),"-")</f>
        <v>-</v>
      </c>
      <c r="O212" s="108" t="str">
        <f>IFERROR((lifespans_all!O210*DTE_mission_minutes!O54)*POWER(1+(Historical_Cost!$C$88/100),O$1-2021),"-")</f>
        <v>-</v>
      </c>
      <c r="P212" s="108" t="str">
        <f>IFERROR((lifespans_all!P210*DTE_mission_minutes!P54)*POWER(1+(Historical_Cost!$C$88/100),P$1-2021),"-")</f>
        <v>-</v>
      </c>
      <c r="Q212" s="108" t="str">
        <f>IFERROR((lifespans_all!Q210*DTE_mission_minutes!Q54)*POWER(1+(Historical_Cost!$C$88/100),Q$1-2021),"-")</f>
        <v>-</v>
      </c>
      <c r="R212" s="108" t="str">
        <f>IFERROR((lifespans_all!R210*DTE_mission_minutes!R54)*POWER(1+(Historical_Cost!$C$88/100),R$1-2021),"-")</f>
        <v>-</v>
      </c>
      <c r="S212" s="108" t="str">
        <f>IFERROR((lifespans_all!S210*DTE_mission_minutes!S54)*POWER(1+(Historical_Cost!$C$88/100),S$1-2021),"-")</f>
        <v>-</v>
      </c>
      <c r="T212" s="108" t="str">
        <f>IFERROR((lifespans_all!T210*DTE_mission_minutes!T54)*POWER(1+(Historical_Cost!$C$88/100),T$1-2021),"-")</f>
        <v>-</v>
      </c>
      <c r="U212" s="108" t="str">
        <f>IFERROR((lifespans_all!U210*DTE_mission_minutes!U54)*POWER(1+(Historical_Cost!$C$88/100),U$1-2021),"-")</f>
        <v>-</v>
      </c>
      <c r="V212" s="108" t="str">
        <f>IFERROR((lifespans_all!V210*DTE_mission_minutes!V54)*POWER(1+(Historical_Cost!$C$88/100),V$1-2021),"-")</f>
        <v>-</v>
      </c>
    </row>
    <row r="213" spans="1:22" x14ac:dyDescent="0.25">
      <c r="A213" s="24" t="str">
        <f t="shared" si="29"/>
        <v>New</v>
      </c>
      <c r="B213" s="24" t="str">
        <f t="shared" si="29"/>
        <v>Launch Events</v>
      </c>
      <c r="C213" s="108" t="str">
        <f>IFERROR((lifespans_all!C211*DTE_mission_minutes!C55)*POWER(1+(Historical_Cost!$C$88/100),C$1-2021),"-")</f>
        <v>-</v>
      </c>
      <c r="D213" s="108" t="str">
        <f>IFERROR((lifespans_all!D211*DTE_mission_minutes!D55)*POWER(1+(Historical_Cost!$C$88/100),D$1-2021),"-")</f>
        <v>-</v>
      </c>
      <c r="E213" s="108" t="str">
        <f>IFERROR((lifespans_all!E211*DTE_mission_minutes!E55)*POWER(1+(Historical_Cost!$C$88/100),E$1-2021),"-")</f>
        <v>-</v>
      </c>
      <c r="F213" s="108" t="str">
        <f>IFERROR((lifespans_all!F211*DTE_mission_minutes!F55)*POWER(1+(Historical_Cost!$C$88/100),F$1-2021),"-")</f>
        <v>-</v>
      </c>
      <c r="G213" s="108" t="str">
        <f>IFERROR((lifespans_all!G211*DTE_mission_minutes!G55)*POWER(1+(Historical_Cost!$C$88/100),G$1-2021),"-")</f>
        <v>-</v>
      </c>
      <c r="H213" s="108" t="str">
        <f>IFERROR((lifespans_all!H211*DTE_mission_minutes!H55)*POWER(1+(Historical_Cost!$C$88/100),H$1-2021),"-")</f>
        <v>-</v>
      </c>
      <c r="I213" s="108" t="str">
        <f>IFERROR((lifespans_all!I211*DTE_mission_minutes!I55)*POWER(1+(Historical_Cost!$C$88/100),I$1-2021),"-")</f>
        <v>-</v>
      </c>
      <c r="J213" s="108" t="str">
        <f>IFERROR((lifespans_all!J211*DTE_mission_minutes!J55)*POWER(1+(Historical_Cost!$C$88/100),J$1-2021),"-")</f>
        <v>-</v>
      </c>
      <c r="K213" s="108" t="str">
        <f>IFERROR((lifespans_all!K211*DTE_mission_minutes!K55)*POWER(1+(Historical_Cost!$C$88/100),K$1-2021),"-")</f>
        <v>-</v>
      </c>
      <c r="L213" s="108" t="str">
        <f>IFERROR((lifespans_all!L211*DTE_mission_minutes!L55)*POWER(1+(Historical_Cost!$C$88/100),L$1-2021),"-")</f>
        <v>-</v>
      </c>
      <c r="M213" s="108" t="str">
        <f>IFERROR((lifespans_all!M211*DTE_mission_minutes!M55)*POWER(1+(Historical_Cost!$C$88/100),M$1-2021),"-")</f>
        <v>-</v>
      </c>
      <c r="N213" s="108" t="str">
        <f>IFERROR((lifespans_all!N211*DTE_mission_minutes!N55)*POWER(1+(Historical_Cost!$C$88/100),N$1-2021),"-")</f>
        <v>-</v>
      </c>
      <c r="O213" s="108" t="str">
        <f>IFERROR((lifespans_all!O211*DTE_mission_minutes!O55)*POWER(1+(Historical_Cost!$C$88/100),O$1-2021),"-")</f>
        <v>-</v>
      </c>
      <c r="P213" s="108" t="str">
        <f>IFERROR((lifespans_all!P211*DTE_mission_minutes!P55)*POWER(1+(Historical_Cost!$C$88/100),P$1-2021),"-")</f>
        <v>-</v>
      </c>
      <c r="Q213" s="108" t="str">
        <f>IFERROR((lifespans_all!Q211*DTE_mission_minutes!Q55)*POWER(1+(Historical_Cost!$C$88/100),Q$1-2021),"-")</f>
        <v>-</v>
      </c>
      <c r="R213" s="108" t="str">
        <f>IFERROR((lifespans_all!R211*DTE_mission_minutes!R55)*POWER(1+(Historical_Cost!$C$88/100),R$1-2021),"-")</f>
        <v>-</v>
      </c>
      <c r="S213" s="108" t="str">
        <f>IFERROR((lifespans_all!S211*DTE_mission_minutes!S55)*POWER(1+(Historical_Cost!$C$88/100),S$1-2021),"-")</f>
        <v>-</v>
      </c>
      <c r="T213" s="108" t="str">
        <f>IFERROR((lifespans_all!T211*DTE_mission_minutes!T55)*POWER(1+(Historical_Cost!$C$88/100),T$1-2021),"-")</f>
        <v>-</v>
      </c>
      <c r="U213" s="108" t="str">
        <f>IFERROR((lifespans_all!U211*DTE_mission_minutes!U55)*POWER(1+(Historical_Cost!$C$88/100),U$1-2021),"-")</f>
        <v>-</v>
      </c>
      <c r="V213" s="108" t="str">
        <f>IFERROR((lifespans_all!V211*DTE_mission_minutes!V55)*POWER(1+(Historical_Cost!$C$88/100),V$1-2021),"-")</f>
        <v>-</v>
      </c>
    </row>
    <row r="214" spans="1:22" x14ac:dyDescent="0.25">
      <c r="A214" s="24" t="str">
        <f t="shared" si="29"/>
        <v>New</v>
      </c>
      <c r="B214" s="24" t="str">
        <f t="shared" si="29"/>
        <v>Terrestrial &amp; Aerial</v>
      </c>
      <c r="C214" s="108">
        <f>IFERROR((lifespans_all!C212*DTE_mission_minutes!C56)*POWER(1+(Historical_Cost!$C$88/100),C$1-2021),"-")</f>
        <v>-26836.151351000004</v>
      </c>
      <c r="D214" s="108">
        <f>IFERROR((lifespans_all!D212*DTE_mission_minutes!D56)*POWER(1+(Historical_Cost!$C$88/100),D$1-2021),"-")</f>
        <v>36497.165837360015</v>
      </c>
      <c r="E214" s="108">
        <f>IFERROR((lifespans_all!E212*DTE_mission_minutes!E56)*POWER(1+(Historical_Cost!$C$88/100),E$1-2021),"-")</f>
        <v>9306.7772885268114</v>
      </c>
      <c r="F214" s="108">
        <f>IFERROR((lifespans_all!F212*DTE_mission_minutes!F56)*POWER(1+(Historical_Cost!$C$88/100),F$1-2021),"-")</f>
        <v>-18985.825668594669</v>
      </c>
      <c r="G214" s="108">
        <f>IFERROR((lifespans_all!G212*DTE_mission_minutes!G56)*POWER(1+(Historical_Cost!$C$88/100),G$1-2021),"-")</f>
        <v>-48413.855454916426</v>
      </c>
      <c r="H214" s="108">
        <f>IFERROR((lifespans_all!H212*DTE_mission_minutes!H56)*POWER(1+(Historical_Cost!$C$88/100),H$1-2021),"-")</f>
        <v>19752.853025605895</v>
      </c>
      <c r="I214" s="108">
        <f>IFERROR((lifespans_all!I212*DTE_mission_minutes!I56)*POWER(1+(Historical_Cost!$C$88/100),I$1-2021),"-")</f>
        <v>-10073.955043059019</v>
      </c>
      <c r="J214" s="108">
        <f>IFERROR((lifespans_all!J212*DTE_mission_minutes!J56)*POWER(1+(Historical_Cost!$C$88/100),J$1-2021),"-")</f>
        <v>-41101.736575680741</v>
      </c>
      <c r="K214" s="108">
        <f>IFERROR((lifespans_all!K212*DTE_mission_minutes!K56)*POWER(1+(Historical_Cost!$C$88/100),K$1-2021),"-")</f>
        <v>-73366.599787590123</v>
      </c>
      <c r="L214" s="108">
        <f>IFERROR((lifespans_all!L212*DTE_mission_minutes!L56)*POWER(1+(Historical_Cost!$C$88/100),L$1-2021),"-")</f>
        <v>-106905.6168333456</v>
      </c>
      <c r="M214" s="108">
        <f>IFERROR((lifespans_all!M212*DTE_mission_minutes!M56)*POWER(1+(Historical_Cost!$C$88/100),M$1-2021),"-")</f>
        <v>-109043.72917001251</v>
      </c>
      <c r="N214" s="108">
        <f>IFERROR((lifespans_all!N212*DTE_mission_minutes!N56)*POWER(1+(Historical_Cost!$C$88/100),N$1-2021),"-")</f>
        <v>-111224.60375341274</v>
      </c>
      <c r="O214" s="108">
        <f>IFERROR((lifespans_all!O212*DTE_mission_minutes!O56)*POWER(1+(Historical_Cost!$C$88/100),O$1-2021),"-")</f>
        <v>-113449.09582848102</v>
      </c>
      <c r="P214" s="108">
        <f>IFERROR((lifespans_all!P212*DTE_mission_minutes!P56)*POWER(1+(Historical_Cost!$C$88/100),P$1-2021),"-")</f>
        <v>-115718.07774505063</v>
      </c>
      <c r="Q214" s="108">
        <f>IFERROR((lifespans_all!Q212*DTE_mission_minutes!Q56)*POWER(1+(Historical_Cost!$C$88/100),Q$1-2021),"-")</f>
        <v>-118032.43929995166</v>
      </c>
      <c r="R214" s="108">
        <f>IFERROR((lifespans_all!R212*DTE_mission_minutes!R56)*POWER(1+(Historical_Cost!$C$88/100),R$1-2021),"-")</f>
        <v>-120393.08808595066</v>
      </c>
      <c r="S214" s="108">
        <f>IFERROR((lifespans_all!S212*DTE_mission_minutes!S56)*POWER(1+(Historical_Cost!$C$88/100),S$1-2021),"-")</f>
        <v>-122800.94984766969</v>
      </c>
      <c r="T214" s="108">
        <f>IFERROR((lifespans_all!T212*DTE_mission_minutes!T56)*POWER(1+(Historical_Cost!$C$88/100),T$1-2021),"-")</f>
        <v>-125256.96884462309</v>
      </c>
      <c r="U214" s="108">
        <f>IFERROR((lifespans_all!U212*DTE_mission_minutes!U56)*POWER(1+(Historical_Cost!$C$88/100),U$1-2021),"-")</f>
        <v>-127762.10822151553</v>
      </c>
      <c r="V214" s="108">
        <f>IFERROR((lifespans_all!V212*DTE_mission_minutes!V56)*POWER(1+(Historical_Cost!$C$88/100),V$1-2021),"-")</f>
        <v>-130317.35038594584</v>
      </c>
    </row>
    <row r="215" spans="1:22" x14ac:dyDescent="0.25">
      <c r="C215" s="2"/>
      <c r="D215" s="2"/>
      <c r="E215" s="2"/>
      <c r="F215" s="2"/>
      <c r="G215" s="2"/>
      <c r="H215" s="2"/>
      <c r="I215" s="2"/>
      <c r="J215" s="2"/>
      <c r="K215" s="2"/>
      <c r="L215" s="2"/>
      <c r="M215" s="2"/>
      <c r="N215" s="2"/>
      <c r="O215" s="2"/>
      <c r="P215" s="2"/>
      <c r="Q215" s="2"/>
      <c r="R215" s="2"/>
      <c r="S215" s="2"/>
      <c r="T215" s="2"/>
      <c r="U215" s="2"/>
      <c r="V215" s="2"/>
    </row>
    <row r="216" spans="1:22" x14ac:dyDescent="0.25">
      <c r="C216" s="26">
        <f t="shared" ref="C216:U216" si="30">SUM(C160:C214)</f>
        <v>1639868.4150642774</v>
      </c>
      <c r="D216" s="26">
        <f t="shared" si="30"/>
        <v>1397106.2827953773</v>
      </c>
      <c r="E216" s="26">
        <f t="shared" si="30"/>
        <v>1159305.5387644859</v>
      </c>
      <c r="F216" s="26">
        <f t="shared" si="30"/>
        <v>844785.06230801879</v>
      </c>
      <c r="G216" s="26">
        <f t="shared" si="30"/>
        <v>802449.09921048558</v>
      </c>
      <c r="H216" s="26">
        <f t="shared" si="30"/>
        <v>721338.39388551679</v>
      </c>
      <c r="I216" s="26">
        <f t="shared" si="30"/>
        <v>545029.93131714524</v>
      </c>
      <c r="J216" s="26">
        <f t="shared" si="30"/>
        <v>467936.65824553755</v>
      </c>
      <c r="K216" s="26">
        <f t="shared" si="30"/>
        <v>329382.45423550694</v>
      </c>
      <c r="L216" s="26">
        <f t="shared" si="30"/>
        <v>185418.06667681091</v>
      </c>
      <c r="M216" s="26">
        <f t="shared" si="30"/>
        <v>582838.77992449235</v>
      </c>
      <c r="N216" s="26">
        <f t="shared" si="30"/>
        <v>578710.01230585529</v>
      </c>
      <c r="O216" s="26">
        <f t="shared" si="30"/>
        <v>574498.66933484527</v>
      </c>
      <c r="P216" s="26">
        <f t="shared" si="30"/>
        <v>570203.0995044153</v>
      </c>
      <c r="Q216" s="26">
        <f t="shared" si="30"/>
        <v>565821.61827737652</v>
      </c>
      <c r="R216" s="26">
        <f t="shared" si="30"/>
        <v>561352.50742579717</v>
      </c>
      <c r="S216" s="26">
        <f t="shared" si="30"/>
        <v>556794.01435718604</v>
      </c>
      <c r="T216" s="26">
        <f t="shared" si="30"/>
        <v>552144.35142720281</v>
      </c>
      <c r="U216" s="26">
        <f t="shared" si="30"/>
        <v>547401.69523861993</v>
      </c>
      <c r="V216" s="26">
        <f>SUM(V160:V214)</f>
        <v>542564.18592626532</v>
      </c>
    </row>
    <row r="218" spans="1:22" ht="14.4" thickBot="1" x14ac:dyDescent="0.3">
      <c r="B218" s="2" t="s">
        <v>76</v>
      </c>
      <c r="L218" s="49"/>
      <c r="M218" s="49"/>
    </row>
    <row r="219" spans="1:22" x14ac:dyDescent="0.25">
      <c r="B219" s="57" t="s">
        <v>82</v>
      </c>
      <c r="C219" s="77">
        <f>C159</f>
        <v>2021</v>
      </c>
      <c r="D219" s="77">
        <f t="shared" ref="D219:V219" si="31">D159</f>
        <v>2022</v>
      </c>
      <c r="E219" s="77">
        <f t="shared" si="31"/>
        <v>2023</v>
      </c>
      <c r="F219" s="77">
        <f t="shared" si="31"/>
        <v>2024</v>
      </c>
      <c r="G219" s="77">
        <f t="shared" si="31"/>
        <v>2025</v>
      </c>
      <c r="H219" s="77">
        <f t="shared" si="31"/>
        <v>2026</v>
      </c>
      <c r="I219" s="77">
        <f t="shared" si="31"/>
        <v>2027</v>
      </c>
      <c r="J219" s="77">
        <f t="shared" si="31"/>
        <v>2028</v>
      </c>
      <c r="K219" s="77">
        <f t="shared" si="31"/>
        <v>2029</v>
      </c>
      <c r="L219" s="77">
        <f t="shared" si="31"/>
        <v>2030</v>
      </c>
      <c r="M219" s="77">
        <f t="shared" si="31"/>
        <v>2031</v>
      </c>
      <c r="N219" s="77">
        <f t="shared" si="31"/>
        <v>2032</v>
      </c>
      <c r="O219" s="77">
        <f t="shared" si="31"/>
        <v>2033</v>
      </c>
      <c r="P219" s="77">
        <f t="shared" si="31"/>
        <v>2034</v>
      </c>
      <c r="Q219" s="77">
        <f t="shared" si="31"/>
        <v>2035</v>
      </c>
      <c r="R219" s="77">
        <f t="shared" si="31"/>
        <v>2036</v>
      </c>
      <c r="S219" s="77">
        <f t="shared" si="31"/>
        <v>2037</v>
      </c>
      <c r="T219" s="77">
        <f t="shared" si="31"/>
        <v>2038</v>
      </c>
      <c r="U219" s="77">
        <f t="shared" si="31"/>
        <v>2039</v>
      </c>
      <c r="V219" s="77">
        <f t="shared" si="31"/>
        <v>2040</v>
      </c>
    </row>
    <row r="220" spans="1:22" x14ac:dyDescent="0.25">
      <c r="B220" s="36" t="s">
        <v>43</v>
      </c>
      <c r="C220" s="37">
        <f>SUMIF($B160:$B214,$B220,C$160:C$214)</f>
        <v>609439.12110527779</v>
      </c>
      <c r="D220" s="37">
        <f t="shared" ref="D220:V220" si="32">SUMIF($B160:$B214,$B220,D$160:D$214)</f>
        <v>519948.9128763667</v>
      </c>
      <c r="E220" s="37">
        <f t="shared" si="32"/>
        <v>425948.74252356874</v>
      </c>
      <c r="F220" s="37">
        <f t="shared" si="32"/>
        <v>330762.42415212019</v>
      </c>
      <c r="G220" s="37">
        <f t="shared" si="32"/>
        <v>230621.78307160601</v>
      </c>
      <c r="H220" s="37">
        <f t="shared" si="32"/>
        <v>126621.17546217027</v>
      </c>
      <c r="I220" s="37">
        <f t="shared" si="32"/>
        <v>18646.258919088054</v>
      </c>
      <c r="J220" s="37">
        <f t="shared" si="32"/>
        <v>-93420.338671942241</v>
      </c>
      <c r="K220" s="37">
        <f t="shared" si="32"/>
        <v>-209699.09458622185</v>
      </c>
      <c r="L220" s="37">
        <f t="shared" si="32"/>
        <v>-330313.66851764405</v>
      </c>
      <c r="M220" s="37">
        <f t="shared" si="32"/>
        <v>58852.169579852954</v>
      </c>
      <c r="N220" s="37">
        <f t="shared" si="32"/>
        <v>46303.42930802796</v>
      </c>
      <c r="O220" s="37">
        <f t="shared" si="32"/>
        <v>33503.714230766171</v>
      </c>
      <c r="P220" s="37">
        <f t="shared" si="32"/>
        <v>20448.004851959297</v>
      </c>
      <c r="Q220" s="37">
        <f t="shared" si="32"/>
        <v>7131.1812855761964</v>
      </c>
      <c r="R220" s="37">
        <f t="shared" si="32"/>
        <v>-6451.9787521342514</v>
      </c>
      <c r="S220" s="37">
        <f t="shared" si="32"/>
        <v>-20306.801990599371</v>
      </c>
      <c r="T220" s="37">
        <f t="shared" si="32"/>
        <v>-34438.721693833591</v>
      </c>
      <c r="U220" s="37">
        <f t="shared" si="32"/>
        <v>-48853.279791132431</v>
      </c>
      <c r="V220" s="37">
        <f t="shared" si="32"/>
        <v>-63556.129050377291</v>
      </c>
    </row>
    <row r="221" spans="1:22" x14ac:dyDescent="0.25">
      <c r="B221" s="36" t="s">
        <v>41</v>
      </c>
      <c r="C221" s="37">
        <f>SUMIF($B160:$B214,$B221,C$160:C$214)</f>
        <v>949239.69982833299</v>
      </c>
      <c r="D221" s="37">
        <f t="shared" ref="D221:V221" si="33">SUMIF($B160:$B214,$B221,D$160:D$214)</f>
        <v>732639.52074998373</v>
      </c>
      <c r="E221" s="37">
        <f t="shared" si="33"/>
        <v>613972.8038851826</v>
      </c>
      <c r="F221" s="37">
        <f t="shared" si="33"/>
        <v>422643.50965651299</v>
      </c>
      <c r="G221" s="37">
        <f t="shared" si="33"/>
        <v>509729.94239948317</v>
      </c>
      <c r="H221" s="37">
        <f t="shared" si="33"/>
        <v>465661.51178215758</v>
      </c>
      <c r="I221" s="37">
        <f t="shared" si="33"/>
        <v>426965.71684917068</v>
      </c>
      <c r="J221" s="37">
        <f t="shared" si="33"/>
        <v>492773.98478532524</v>
      </c>
      <c r="K221" s="37">
        <f t="shared" si="33"/>
        <v>502566.70502327621</v>
      </c>
      <c r="L221" s="37">
        <f t="shared" si="33"/>
        <v>512555.27966598619</v>
      </c>
      <c r="M221" s="37">
        <f t="shared" si="33"/>
        <v>522743.6258015504</v>
      </c>
      <c r="N221" s="37">
        <f t="shared" si="33"/>
        <v>533135.73885982565</v>
      </c>
      <c r="O221" s="37">
        <f t="shared" si="33"/>
        <v>543735.69417926669</v>
      </c>
      <c r="P221" s="37">
        <f t="shared" si="33"/>
        <v>554547.6486050965</v>
      </c>
      <c r="Q221" s="37">
        <f t="shared" si="33"/>
        <v>565575.84211944288</v>
      </c>
      <c r="R221" s="37">
        <f t="shared" si="33"/>
        <v>576824.59950407606</v>
      </c>
      <c r="S221" s="37">
        <f t="shared" si="33"/>
        <v>588298.33203640208</v>
      </c>
      <c r="T221" s="37">
        <f t="shared" si="33"/>
        <v>600001.53921937465</v>
      </c>
      <c r="U221" s="37">
        <f t="shared" si="33"/>
        <v>611938.81054600654</v>
      </c>
      <c r="V221" s="37">
        <f t="shared" si="33"/>
        <v>624114.82729917113</v>
      </c>
    </row>
    <row r="222" spans="1:22" x14ac:dyDescent="0.25">
      <c r="B222" s="36" t="s">
        <v>40</v>
      </c>
      <c r="C222" s="37">
        <f>SUMIF($B160:$B214,$B222,C$160:C$214)</f>
        <v>15204.330498888885</v>
      </c>
      <c r="D222" s="37">
        <f t="shared" ref="D222:V222" si="34">SUMIF($B160:$B214,$B222,D$160:D$214)</f>
        <v>15227.070671111109</v>
      </c>
      <c r="E222" s="37">
        <f t="shared" si="34"/>
        <v>17469.366981651809</v>
      </c>
      <c r="F222" s="37">
        <f t="shared" si="34"/>
        <v>17647.519592980083</v>
      </c>
      <c r="G222" s="37">
        <f t="shared" si="34"/>
        <v>17829.235256534921</v>
      </c>
      <c r="H222" s="37">
        <f t="shared" si="34"/>
        <v>18014.585233360856</v>
      </c>
      <c r="I222" s="37">
        <f t="shared" si="34"/>
        <v>18203.642209723315</v>
      </c>
      <c r="J222" s="37">
        <f t="shared" si="34"/>
        <v>18396.480325613018</v>
      </c>
      <c r="K222" s="37">
        <f t="shared" si="34"/>
        <v>18593.175203820516</v>
      </c>
      <c r="L222" s="37">
        <f t="shared" si="34"/>
        <v>18793.803979592165</v>
      </c>
      <c r="M222" s="37">
        <f t="shared" si="34"/>
        <v>18998.445330879244</v>
      </c>
      <c r="N222" s="37">
        <f t="shared" si="34"/>
        <v>19207.179509192065</v>
      </c>
      <c r="O222" s="37">
        <f t="shared" si="34"/>
        <v>19420.08837107115</v>
      </c>
      <c r="P222" s="37">
        <f t="shared" si="34"/>
        <v>19637.255410187809</v>
      </c>
      <c r="Q222" s="37">
        <f t="shared" si="34"/>
        <v>19858.765790086803</v>
      </c>
      <c r="R222" s="37">
        <f t="shared" si="34"/>
        <v>20084.706377583774</v>
      </c>
      <c r="S222" s="37">
        <f t="shared" si="34"/>
        <v>20315.16577683069</v>
      </c>
      <c r="T222" s="37">
        <f t="shared" si="34"/>
        <v>20550.234364062544</v>
      </c>
      <c r="U222" s="37">
        <f t="shared" si="34"/>
        <v>20790.004323039029</v>
      </c>
      <c r="V222" s="37">
        <f t="shared" si="34"/>
        <v>21034.569681195047</v>
      </c>
    </row>
    <row r="223" spans="1:22" x14ac:dyDescent="0.25">
      <c r="B223" s="36" t="s">
        <v>80</v>
      </c>
      <c r="C223" s="37">
        <f>SUMIF($B160:$B214,$B223,C$160:C$214)</f>
        <v>0</v>
      </c>
      <c r="D223" s="37">
        <f t="shared" ref="D223:V223" si="35">SUMIF($B160:$B214,$B223,D$160:D$214)</f>
        <v>0</v>
      </c>
      <c r="E223" s="37">
        <f t="shared" si="35"/>
        <v>0</v>
      </c>
      <c r="F223" s="37">
        <f t="shared" si="35"/>
        <v>0</v>
      </c>
      <c r="G223" s="37">
        <f t="shared" si="35"/>
        <v>0</v>
      </c>
      <c r="H223" s="37">
        <f t="shared" si="35"/>
        <v>0</v>
      </c>
      <c r="I223" s="37">
        <f t="shared" si="35"/>
        <v>0</v>
      </c>
      <c r="J223" s="37">
        <f t="shared" si="35"/>
        <v>0</v>
      </c>
      <c r="K223" s="37">
        <f t="shared" si="35"/>
        <v>0</v>
      </c>
      <c r="L223" s="37">
        <f t="shared" si="35"/>
        <v>0</v>
      </c>
      <c r="M223" s="37">
        <f t="shared" si="35"/>
        <v>0</v>
      </c>
      <c r="N223" s="37">
        <f t="shared" si="35"/>
        <v>0</v>
      </c>
      <c r="O223" s="37">
        <f t="shared" si="35"/>
        <v>0</v>
      </c>
      <c r="P223" s="37">
        <f t="shared" si="35"/>
        <v>0</v>
      </c>
      <c r="Q223" s="37">
        <f t="shared" si="35"/>
        <v>0</v>
      </c>
      <c r="R223" s="37">
        <f t="shared" si="35"/>
        <v>0</v>
      </c>
      <c r="S223" s="37">
        <f t="shared" si="35"/>
        <v>0</v>
      </c>
      <c r="T223" s="37">
        <f t="shared" si="35"/>
        <v>0</v>
      </c>
      <c r="U223" s="37">
        <f t="shared" si="35"/>
        <v>0</v>
      </c>
      <c r="V223" s="37">
        <f t="shared" si="35"/>
        <v>0</v>
      </c>
    </row>
    <row r="224" spans="1:22" x14ac:dyDescent="0.25">
      <c r="B224" s="36" t="s">
        <v>44</v>
      </c>
      <c r="C224" s="37">
        <f>SUMIF($B160:$B214,$B224,C$160:C$214)</f>
        <v>0</v>
      </c>
      <c r="D224" s="37">
        <f t="shared" ref="D224:V224" si="36">SUMIF($B160:$B214,$B224,D$160:D$214)</f>
        <v>0</v>
      </c>
      <c r="E224" s="37">
        <f t="shared" si="36"/>
        <v>0</v>
      </c>
      <c r="F224" s="37">
        <f t="shared" si="36"/>
        <v>0</v>
      </c>
      <c r="G224" s="37">
        <f t="shared" si="36"/>
        <v>0</v>
      </c>
      <c r="H224" s="37">
        <f t="shared" si="36"/>
        <v>0</v>
      </c>
      <c r="I224" s="37">
        <f t="shared" si="36"/>
        <v>0</v>
      </c>
      <c r="J224" s="37">
        <f t="shared" si="36"/>
        <v>0</v>
      </c>
      <c r="K224" s="37">
        <f t="shared" si="36"/>
        <v>0</v>
      </c>
      <c r="L224" s="37">
        <f t="shared" si="36"/>
        <v>0</v>
      </c>
      <c r="M224" s="37">
        <f t="shared" si="36"/>
        <v>0</v>
      </c>
      <c r="N224" s="37">
        <f t="shared" si="36"/>
        <v>0</v>
      </c>
      <c r="O224" s="37">
        <f t="shared" si="36"/>
        <v>0</v>
      </c>
      <c r="P224" s="37">
        <f t="shared" si="36"/>
        <v>0</v>
      </c>
      <c r="Q224" s="37">
        <f t="shared" si="36"/>
        <v>0</v>
      </c>
      <c r="R224" s="37">
        <f t="shared" si="36"/>
        <v>0</v>
      </c>
      <c r="S224" s="37">
        <f t="shared" si="36"/>
        <v>0</v>
      </c>
      <c r="T224" s="37">
        <f t="shared" si="36"/>
        <v>0</v>
      </c>
      <c r="U224" s="37">
        <f t="shared" si="36"/>
        <v>0</v>
      </c>
      <c r="V224" s="37">
        <f t="shared" si="36"/>
        <v>0</v>
      </c>
    </row>
    <row r="225" spans="1:22" x14ac:dyDescent="0.25">
      <c r="B225" s="36" t="s">
        <v>81</v>
      </c>
      <c r="C225" s="37">
        <f>SUMIF($B160:$B214,$B225,C$160:C$214)</f>
        <v>0</v>
      </c>
      <c r="D225" s="37">
        <f t="shared" ref="D225:V225" si="37">SUMIF($B160:$B214,$B225,D$160:D$214)</f>
        <v>0</v>
      </c>
      <c r="E225" s="37">
        <f t="shared" si="37"/>
        <v>0</v>
      </c>
      <c r="F225" s="37">
        <f t="shared" si="37"/>
        <v>0</v>
      </c>
      <c r="G225" s="37">
        <f t="shared" si="37"/>
        <v>0</v>
      </c>
      <c r="H225" s="37">
        <f t="shared" si="37"/>
        <v>0</v>
      </c>
      <c r="I225" s="37">
        <f t="shared" si="37"/>
        <v>0</v>
      </c>
      <c r="J225" s="37">
        <f t="shared" si="37"/>
        <v>0</v>
      </c>
      <c r="K225" s="37">
        <f t="shared" si="37"/>
        <v>0</v>
      </c>
      <c r="L225" s="37">
        <f t="shared" si="37"/>
        <v>0</v>
      </c>
      <c r="M225" s="37">
        <f t="shared" si="37"/>
        <v>0</v>
      </c>
      <c r="N225" s="37">
        <f t="shared" si="37"/>
        <v>0</v>
      </c>
      <c r="O225" s="37">
        <f t="shared" si="37"/>
        <v>0</v>
      </c>
      <c r="P225" s="37">
        <f t="shared" si="37"/>
        <v>0</v>
      </c>
      <c r="Q225" s="37">
        <f t="shared" si="37"/>
        <v>0</v>
      </c>
      <c r="R225" s="37">
        <f t="shared" si="37"/>
        <v>0</v>
      </c>
      <c r="S225" s="37">
        <f t="shared" si="37"/>
        <v>0</v>
      </c>
      <c r="T225" s="37">
        <f t="shared" si="37"/>
        <v>0</v>
      </c>
      <c r="U225" s="37">
        <f t="shared" si="37"/>
        <v>0</v>
      </c>
      <c r="V225" s="37">
        <f t="shared" si="37"/>
        <v>0</v>
      </c>
    </row>
    <row r="226" spans="1:22" x14ac:dyDescent="0.25">
      <c r="B226" s="36" t="s">
        <v>42</v>
      </c>
      <c r="C226" s="37">
        <f>SUMIF($B160:$B214,$B226,C$160:C$214)</f>
        <v>1472.7862655555555</v>
      </c>
      <c r="D226" s="37">
        <f t="shared" ref="D226:V226" si="38">SUMIF($B160:$B214,$B226,D$160:D$214)</f>
        <v>1512.0012127777777</v>
      </c>
      <c r="E226" s="37">
        <f t="shared" si="38"/>
        <v>1460.5163599999998</v>
      </c>
      <c r="F226" s="37">
        <f t="shared" si="38"/>
        <v>1477.6676861111109</v>
      </c>
      <c r="G226" s="37">
        <f t="shared" si="38"/>
        <v>1442.2270488888887</v>
      </c>
      <c r="H226" s="37">
        <f t="shared" si="38"/>
        <v>1442.2270488888887</v>
      </c>
      <c r="I226" s="37">
        <f t="shared" si="38"/>
        <v>1442.2270488888887</v>
      </c>
      <c r="J226" s="37">
        <f t="shared" si="38"/>
        <v>1442.2270488888887</v>
      </c>
      <c r="K226" s="37">
        <f t="shared" si="38"/>
        <v>1442.2270488888887</v>
      </c>
      <c r="L226" s="37">
        <f t="shared" si="38"/>
        <v>1442.2270488888887</v>
      </c>
      <c r="M226" s="37">
        <f t="shared" si="38"/>
        <v>1442.2270488888887</v>
      </c>
      <c r="N226" s="37">
        <f t="shared" si="38"/>
        <v>1442.2270488888887</v>
      </c>
      <c r="O226" s="37">
        <f t="shared" si="38"/>
        <v>1442.2270488888887</v>
      </c>
      <c r="P226" s="37">
        <f t="shared" si="38"/>
        <v>1442.2270488888887</v>
      </c>
      <c r="Q226" s="37">
        <f t="shared" si="38"/>
        <v>1442.2270488888887</v>
      </c>
      <c r="R226" s="37">
        <f t="shared" si="38"/>
        <v>1442.2270488888887</v>
      </c>
      <c r="S226" s="37">
        <f t="shared" si="38"/>
        <v>1442.2270488888887</v>
      </c>
      <c r="T226" s="37">
        <f t="shared" si="38"/>
        <v>1442.2270488888887</v>
      </c>
      <c r="U226" s="37">
        <f t="shared" si="38"/>
        <v>1442.2270488888887</v>
      </c>
      <c r="V226" s="37">
        <f t="shared" si="38"/>
        <v>1442.2270488888887</v>
      </c>
    </row>
    <row r="227" spans="1:22" ht="14.4" thickBot="1" x14ac:dyDescent="0.3">
      <c r="B227" s="42" t="s">
        <v>45</v>
      </c>
      <c r="C227" s="37">
        <f>SUMIF($B160:$B214,$B227,C$160:C$214)</f>
        <v>64004.337319000013</v>
      </c>
      <c r="D227" s="37">
        <f t="shared" ref="D227:V227" si="39">SUMIF($B160:$B214,$B227,D$160:D$214)</f>
        <v>127401.18589624894</v>
      </c>
      <c r="E227" s="37">
        <f t="shared" si="39"/>
        <v>100146.86040297127</v>
      </c>
      <c r="F227" s="37">
        <f t="shared" si="39"/>
        <v>71861.737723627579</v>
      </c>
      <c r="G227" s="37">
        <f t="shared" si="39"/>
        <v>42433.707937305822</v>
      </c>
      <c r="H227" s="37">
        <f t="shared" si="39"/>
        <v>109206.69086227258</v>
      </c>
      <c r="I227" s="37">
        <f t="shared" si="39"/>
        <v>79379.88279360767</v>
      </c>
      <c r="J227" s="37">
        <f t="shared" si="39"/>
        <v>48352.101260985946</v>
      </c>
      <c r="K227" s="37">
        <f t="shared" si="39"/>
        <v>16087.238049076564</v>
      </c>
      <c r="L227" s="37">
        <f t="shared" si="39"/>
        <v>-17451.778996678913</v>
      </c>
      <c r="M227" s="37">
        <f t="shared" si="39"/>
        <v>-19589.891333345819</v>
      </c>
      <c r="N227" s="37">
        <f t="shared" si="39"/>
        <v>-21770.765916746052</v>
      </c>
      <c r="O227" s="37">
        <f t="shared" si="39"/>
        <v>-23995.257991814331</v>
      </c>
      <c r="P227" s="37">
        <f t="shared" si="39"/>
        <v>-26264.239908383941</v>
      </c>
      <c r="Q227" s="37">
        <f t="shared" si="39"/>
        <v>-28578.601463284969</v>
      </c>
      <c r="R227" s="37">
        <f t="shared" si="39"/>
        <v>-30939.25024928397</v>
      </c>
      <c r="S227" s="37">
        <f t="shared" si="39"/>
        <v>-33347.112011003002</v>
      </c>
      <c r="T227" s="37">
        <f t="shared" si="39"/>
        <v>-35803.131007956399</v>
      </c>
      <c r="U227" s="37">
        <f t="shared" si="39"/>
        <v>-38308.270384848845</v>
      </c>
      <c r="V227" s="37">
        <f t="shared" si="39"/>
        <v>-40863.512549279156</v>
      </c>
    </row>
    <row r="228" spans="1:22" x14ac:dyDescent="0.25">
      <c r="L228" s="49"/>
      <c r="M228" s="49"/>
    </row>
    <row r="229" spans="1:22" x14ac:dyDescent="0.25">
      <c r="C229" s="96">
        <f>SUM(C220:C227)</f>
        <v>1639360.275017055</v>
      </c>
      <c r="D229" s="96">
        <f t="shared" ref="D229:U229" si="40">SUM(D220:D227)</f>
        <v>1396728.6914064884</v>
      </c>
      <c r="E229" s="96">
        <f t="shared" si="40"/>
        <v>1158998.2901533744</v>
      </c>
      <c r="F229" s="96">
        <f t="shared" si="40"/>
        <v>844392.85881135182</v>
      </c>
      <c r="G229" s="96">
        <f t="shared" si="40"/>
        <v>802056.89571381873</v>
      </c>
      <c r="H229" s="96">
        <f t="shared" si="40"/>
        <v>720946.19038885017</v>
      </c>
      <c r="I229" s="96">
        <f t="shared" si="40"/>
        <v>544637.72782047861</v>
      </c>
      <c r="J229" s="96">
        <f t="shared" si="40"/>
        <v>467544.4547488708</v>
      </c>
      <c r="K229" s="96">
        <f t="shared" si="40"/>
        <v>328990.25073884032</v>
      </c>
      <c r="L229" s="110">
        <f t="shared" si="40"/>
        <v>185025.86318014428</v>
      </c>
      <c r="M229" s="110">
        <f t="shared" si="40"/>
        <v>582446.57642782561</v>
      </c>
      <c r="N229" s="96">
        <f t="shared" si="40"/>
        <v>578317.80880918866</v>
      </c>
      <c r="O229" s="96">
        <f t="shared" si="40"/>
        <v>574106.46583817864</v>
      </c>
      <c r="P229" s="96">
        <f t="shared" si="40"/>
        <v>569810.89600774855</v>
      </c>
      <c r="Q229" s="96">
        <f t="shared" si="40"/>
        <v>565429.41478070989</v>
      </c>
      <c r="R229" s="96">
        <f t="shared" si="40"/>
        <v>560960.30392913055</v>
      </c>
      <c r="S229" s="96">
        <f t="shared" si="40"/>
        <v>556401.8108605193</v>
      </c>
      <c r="T229" s="96">
        <f t="shared" si="40"/>
        <v>551752.14793053619</v>
      </c>
      <c r="U229" s="96">
        <f t="shared" si="40"/>
        <v>547009.4917419533</v>
      </c>
      <c r="V229" s="96">
        <f>SUM(V220:V227)</f>
        <v>542171.98242959869</v>
      </c>
    </row>
    <row r="230" spans="1:22" x14ac:dyDescent="0.25">
      <c r="C230" s="96"/>
      <c r="D230" s="96"/>
      <c r="E230" s="96"/>
      <c r="F230" s="96"/>
      <c r="G230" s="96"/>
      <c r="H230" s="96"/>
      <c r="I230" s="96"/>
      <c r="J230" s="96"/>
      <c r="K230" s="96"/>
      <c r="L230" s="110"/>
      <c r="M230" s="110"/>
      <c r="N230" s="96"/>
      <c r="O230" s="96"/>
      <c r="P230" s="96"/>
      <c r="Q230" s="96"/>
      <c r="R230" s="96"/>
      <c r="S230" s="96"/>
      <c r="T230" s="96"/>
      <c r="U230" s="96"/>
      <c r="V230" s="96"/>
    </row>
    <row r="231" spans="1:22" ht="14.4" thickBot="1" x14ac:dyDescent="0.3">
      <c r="B231" s="2" t="s">
        <v>76</v>
      </c>
      <c r="L231" s="49"/>
      <c r="M231" s="49"/>
    </row>
    <row r="232" spans="1:22" x14ac:dyDescent="0.25">
      <c r="B232" s="57" t="s">
        <v>82</v>
      </c>
      <c r="C232" s="77">
        <v>2021</v>
      </c>
      <c r="D232" s="77">
        <v>2022</v>
      </c>
      <c r="E232" s="77">
        <v>2023</v>
      </c>
      <c r="F232" s="77">
        <v>2024</v>
      </c>
      <c r="G232" s="77">
        <v>2025</v>
      </c>
      <c r="H232" s="77">
        <v>2026</v>
      </c>
      <c r="I232" s="77">
        <v>2027</v>
      </c>
      <c r="J232" s="77">
        <v>2028</v>
      </c>
      <c r="K232" s="77">
        <v>2029</v>
      </c>
      <c r="L232" s="77">
        <v>2030</v>
      </c>
      <c r="M232" s="77">
        <v>2031</v>
      </c>
      <c r="N232" s="77">
        <v>2032</v>
      </c>
      <c r="O232" s="77">
        <v>2033</v>
      </c>
      <c r="P232" s="77">
        <v>2034</v>
      </c>
      <c r="Q232" s="77">
        <v>2035</v>
      </c>
      <c r="R232" s="77">
        <v>2036</v>
      </c>
      <c r="S232" s="77">
        <v>2037</v>
      </c>
      <c r="T232" s="77">
        <v>2038</v>
      </c>
      <c r="U232" s="77">
        <v>2039</v>
      </c>
      <c r="V232" s="77">
        <v>2040</v>
      </c>
    </row>
    <row r="233" spans="1:22" x14ac:dyDescent="0.25">
      <c r="B233" s="36" t="s">
        <v>95</v>
      </c>
      <c r="C233" s="109">
        <f>SUM(C160:C206)</f>
        <v>1752490.7143116661</v>
      </c>
      <c r="D233" s="109">
        <f t="shared" ref="D233:V233" si="41">SUM(D160:D206)</f>
        <v>1484345.8994103172</v>
      </c>
      <c r="E233" s="109">
        <f t="shared" si="41"/>
        <v>1340904.3555357142</v>
      </c>
      <c r="F233" s="109">
        <f>SUM(F160:F206)</f>
        <v>1077474.1436682539</v>
      </c>
      <c r="G233" s="109">
        <f t="shared" si="41"/>
        <v>1075186.4077471427</v>
      </c>
      <c r="H233" s="109">
        <f t="shared" si="41"/>
        <v>936868.51792507921</v>
      </c>
      <c r="I233" s="109">
        <f t="shared" si="41"/>
        <v>801695.03898690466</v>
      </c>
      <c r="J233" s="109">
        <f t="shared" si="41"/>
        <v>797898.18758468248</v>
      </c>
      <c r="K233" s="109">
        <f t="shared" si="41"/>
        <v>797898.18758468248</v>
      </c>
      <c r="L233" s="109">
        <f t="shared" si="41"/>
        <v>797898.18758468248</v>
      </c>
      <c r="M233" s="109">
        <f t="shared" si="41"/>
        <v>789277.16085634916</v>
      </c>
      <c r="N233" s="109">
        <f t="shared" si="41"/>
        <v>789277.16085634916</v>
      </c>
      <c r="O233" s="109">
        <f t="shared" si="41"/>
        <v>789277.16085634916</v>
      </c>
      <c r="P233" s="109">
        <f t="shared" si="41"/>
        <v>789277.16085634916</v>
      </c>
      <c r="Q233" s="109">
        <f t="shared" si="41"/>
        <v>789277.16085634916</v>
      </c>
      <c r="R233" s="109">
        <f t="shared" si="41"/>
        <v>789277.16085634916</v>
      </c>
      <c r="S233" s="109">
        <f t="shared" si="41"/>
        <v>789277.16085634916</v>
      </c>
      <c r="T233" s="109">
        <f t="shared" si="41"/>
        <v>789277.16085634916</v>
      </c>
      <c r="U233" s="109">
        <f t="shared" si="41"/>
        <v>789277.16085634916</v>
      </c>
      <c r="V233" s="109">
        <f t="shared" si="41"/>
        <v>789277.16085634916</v>
      </c>
    </row>
    <row r="234" spans="1:22" x14ac:dyDescent="0.25">
      <c r="B234" s="36" t="s">
        <v>96</v>
      </c>
      <c r="C234" s="98">
        <f>SUM(C207:C214)</f>
        <v>-112622.29924738889</v>
      </c>
      <c r="D234" s="98">
        <f t="shared" ref="D234:V234" si="42">SUM(D207:D214)</f>
        <v>-87239.616614939965</v>
      </c>
      <c r="E234" s="98">
        <f t="shared" si="42"/>
        <v>-181598.81677122845</v>
      </c>
      <c r="F234" s="98">
        <f>SUM(F207:F214)</f>
        <v>-232689.08136023523</v>
      </c>
      <c r="G234" s="98">
        <f t="shared" si="42"/>
        <v>-272737.30853665725</v>
      </c>
      <c r="H234" s="98">
        <f t="shared" si="42"/>
        <v>-215530.12403956242</v>
      </c>
      <c r="I234" s="98">
        <f t="shared" si="42"/>
        <v>-256665.10766975945</v>
      </c>
      <c r="J234" s="98">
        <f t="shared" si="42"/>
        <v>-329961.52933914494</v>
      </c>
      <c r="K234" s="98">
        <f t="shared" si="42"/>
        <v>-468515.73334917554</v>
      </c>
      <c r="L234" s="98">
        <f t="shared" si="42"/>
        <v>-612480.12090787152</v>
      </c>
      <c r="M234" s="98">
        <f t="shared" si="42"/>
        <v>-206438.38093185681</v>
      </c>
      <c r="N234" s="98">
        <f t="shared" si="42"/>
        <v>-210567.14855049393</v>
      </c>
      <c r="O234" s="98">
        <f t="shared" si="42"/>
        <v>-214778.49152150386</v>
      </c>
      <c r="P234" s="98">
        <f t="shared" si="42"/>
        <v>-219074.06135193387</v>
      </c>
      <c r="Q234" s="98">
        <f t="shared" si="42"/>
        <v>-223455.54257897264</v>
      </c>
      <c r="R234" s="98">
        <f t="shared" si="42"/>
        <v>-227924.65343055193</v>
      </c>
      <c r="S234" s="98">
        <f t="shared" si="42"/>
        <v>-232483.14649916315</v>
      </c>
      <c r="T234" s="98">
        <f t="shared" si="42"/>
        <v>-237132.80942914635</v>
      </c>
      <c r="U234" s="98">
        <f t="shared" si="42"/>
        <v>-241875.46561772923</v>
      </c>
      <c r="V234" s="98">
        <f t="shared" si="42"/>
        <v>-246712.97493008382</v>
      </c>
    </row>
    <row r="236" spans="1:22" x14ac:dyDescent="0.25">
      <c r="C236" s="26">
        <f>SUM(C233:C234)</f>
        <v>1639868.4150642771</v>
      </c>
      <c r="D236" s="26">
        <f t="shared" ref="D236:V236" si="43">SUM(D233:D234)</f>
        <v>1397106.2827953773</v>
      </c>
      <c r="E236" s="26">
        <f t="shared" si="43"/>
        <v>1159305.5387644856</v>
      </c>
      <c r="F236" s="26">
        <f t="shared" si="43"/>
        <v>844785.06230801868</v>
      </c>
      <c r="G236" s="26">
        <f t="shared" si="43"/>
        <v>802449.09921048547</v>
      </c>
      <c r="H236" s="26">
        <f t="shared" si="43"/>
        <v>721338.39388551679</v>
      </c>
      <c r="I236" s="26">
        <f t="shared" si="43"/>
        <v>545029.93131714524</v>
      </c>
      <c r="J236" s="26">
        <f t="shared" si="43"/>
        <v>467936.65824553755</v>
      </c>
      <c r="K236" s="26">
        <f t="shared" si="43"/>
        <v>329382.45423550694</v>
      </c>
      <c r="L236" s="26">
        <f t="shared" si="43"/>
        <v>185418.06667681097</v>
      </c>
      <c r="M236" s="26">
        <f t="shared" si="43"/>
        <v>582838.77992449235</v>
      </c>
      <c r="N236" s="26">
        <f t="shared" si="43"/>
        <v>578710.01230585529</v>
      </c>
      <c r="O236" s="26">
        <f t="shared" si="43"/>
        <v>574498.66933484527</v>
      </c>
      <c r="P236" s="26">
        <f t="shared" si="43"/>
        <v>570203.0995044153</v>
      </c>
      <c r="Q236" s="26">
        <f t="shared" si="43"/>
        <v>565821.61827737652</v>
      </c>
      <c r="R236" s="26">
        <f t="shared" si="43"/>
        <v>561352.50742579717</v>
      </c>
      <c r="S236" s="26">
        <f t="shared" si="43"/>
        <v>556794.01435718604</v>
      </c>
      <c r="T236" s="26">
        <f t="shared" si="43"/>
        <v>552144.35142720281</v>
      </c>
      <c r="U236" s="26">
        <f t="shared" si="43"/>
        <v>547401.69523861993</v>
      </c>
      <c r="V236" s="26">
        <f t="shared" si="43"/>
        <v>542564.18592626532</v>
      </c>
    </row>
    <row r="238" spans="1:22" ht="14.4" x14ac:dyDescent="0.3">
      <c r="A238" s="99" t="s">
        <v>139</v>
      </c>
    </row>
    <row r="239" spans="1:22" ht="14.4" x14ac:dyDescent="0.3">
      <c r="A239" s="99"/>
    </row>
    <row r="240" spans="1:22" x14ac:dyDescent="0.25">
      <c r="A240" s="107"/>
    </row>
  </sheetData>
  <autoFilter ref="A1:V48" xr:uid="{3A8DBBC3-2F6E-4F74-9731-6A90B0FA0F89}">
    <sortState xmlns:xlrd2="http://schemas.microsoft.com/office/spreadsheetml/2017/richdata2" ref="A2:V48">
      <sortCondition ref="A1:A48"/>
    </sortState>
  </autoFilter>
  <pageMargins left="0.7" right="0.7" top="0.75" bottom="0.75" header="0.3" footer="0.3"/>
  <pageSetup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CAD954-DD93-491B-A7CC-AA61CB9FC61A}">
  <sheetPr codeName="Sheet11">
    <tabColor rgb="FF0B3D91"/>
  </sheetPr>
  <dimension ref="A1:Q48"/>
  <sheetViews>
    <sheetView zoomScaleNormal="100" workbookViewId="0">
      <selection activeCell="E4" sqref="E4"/>
    </sheetView>
  </sheetViews>
  <sheetFormatPr defaultRowHeight="13.8" x14ac:dyDescent="0.25"/>
  <cols>
    <col min="1" max="1" width="19.77734375" style="2" customWidth="1"/>
    <col min="2" max="2" width="56.21875" style="2" customWidth="1"/>
    <col min="3" max="11" width="9.33203125" style="2" bestFit="1" customWidth="1"/>
    <col min="12" max="12" width="10" style="2" customWidth="1"/>
    <col min="13" max="13" width="10.77734375" style="2" customWidth="1"/>
    <col min="14" max="14" width="11.109375" style="2" customWidth="1"/>
    <col min="15" max="15" width="17.33203125" style="2" customWidth="1"/>
    <col min="16" max="16384" width="8.88671875" style="2"/>
  </cols>
  <sheetData>
    <row r="1" spans="1:17" x14ac:dyDescent="0.25">
      <c r="A1" s="113" t="s">
        <v>16</v>
      </c>
      <c r="B1" s="113" t="s">
        <v>82</v>
      </c>
      <c r="C1" s="114" t="s">
        <v>102</v>
      </c>
      <c r="D1" s="114" t="s">
        <v>103</v>
      </c>
      <c r="E1" s="114" t="s">
        <v>104</v>
      </c>
      <c r="F1" s="114" t="s">
        <v>105</v>
      </c>
      <c r="G1" s="114" t="s">
        <v>106</v>
      </c>
      <c r="H1" s="114" t="s">
        <v>107</v>
      </c>
      <c r="I1" s="114" t="s">
        <v>108</v>
      </c>
      <c r="J1" s="114" t="s">
        <v>109</v>
      </c>
      <c r="K1" s="114" t="s">
        <v>110</v>
      </c>
      <c r="L1" s="114" t="s">
        <v>111</v>
      </c>
      <c r="M1" s="114" t="s">
        <v>112</v>
      </c>
      <c r="N1" s="114" t="s">
        <v>113</v>
      </c>
      <c r="O1" s="113" t="s">
        <v>161</v>
      </c>
    </row>
    <row r="2" spans="1:17" x14ac:dyDescent="0.25">
      <c r="A2" s="32" t="s">
        <v>17</v>
      </c>
      <c r="B2" s="32" t="s">
        <v>41</v>
      </c>
      <c r="C2" s="115">
        <v>9513</v>
      </c>
      <c r="D2" s="115">
        <v>8105</v>
      </c>
      <c r="E2" s="115">
        <v>7202</v>
      </c>
      <c r="F2" s="116">
        <v>6616</v>
      </c>
      <c r="G2" s="115">
        <v>6675</v>
      </c>
      <c r="H2" s="115">
        <v>8337</v>
      </c>
      <c r="I2" s="115">
        <v>8154</v>
      </c>
      <c r="J2" s="115">
        <v>13265</v>
      </c>
      <c r="K2" s="115">
        <v>11647</v>
      </c>
      <c r="L2" s="115">
        <v>11887</v>
      </c>
      <c r="M2" s="115">
        <v>15313</v>
      </c>
      <c r="N2" s="115">
        <v>11765</v>
      </c>
      <c r="O2" s="115">
        <f>SUM(C2:N2)</f>
        <v>118479</v>
      </c>
    </row>
    <row r="3" spans="1:17" x14ac:dyDescent="0.25">
      <c r="A3" s="32" t="s">
        <v>49</v>
      </c>
      <c r="B3" s="32" t="s">
        <v>41</v>
      </c>
      <c r="C3" s="115">
        <v>5899</v>
      </c>
      <c r="D3" s="115">
        <v>5763</v>
      </c>
      <c r="E3" s="115">
        <v>6406</v>
      </c>
      <c r="F3" s="116">
        <v>6007</v>
      </c>
      <c r="G3" s="115">
        <v>5829</v>
      </c>
      <c r="H3" s="115">
        <v>5732</v>
      </c>
      <c r="I3" s="115">
        <v>4638</v>
      </c>
      <c r="J3" s="115">
        <v>5840</v>
      </c>
      <c r="K3" s="115">
        <v>5805</v>
      </c>
      <c r="L3" s="115">
        <v>6036</v>
      </c>
      <c r="M3" s="115">
        <v>5771</v>
      </c>
      <c r="N3" s="115">
        <v>5792</v>
      </c>
      <c r="O3" s="115">
        <f>SUM(C3:N3)</f>
        <v>69518</v>
      </c>
      <c r="Q3" s="107"/>
    </row>
    <row r="4" spans="1:17" x14ac:dyDescent="0.25">
      <c r="A4" s="32" t="s">
        <v>51</v>
      </c>
      <c r="B4" s="32" t="s">
        <v>42</v>
      </c>
      <c r="C4" s="115">
        <v>0</v>
      </c>
      <c r="D4" s="115">
        <v>0</v>
      </c>
      <c r="E4" s="115">
        <v>0</v>
      </c>
      <c r="F4" s="116">
        <v>0</v>
      </c>
      <c r="G4" s="115">
        <v>0</v>
      </c>
      <c r="H4" s="115">
        <v>0</v>
      </c>
      <c r="I4" s="115">
        <v>0</v>
      </c>
      <c r="J4" s="115">
        <v>628</v>
      </c>
      <c r="K4" s="115">
        <v>0</v>
      </c>
      <c r="L4" s="115">
        <v>0</v>
      </c>
      <c r="M4" s="115">
        <v>75</v>
      </c>
      <c r="N4" s="115">
        <v>165</v>
      </c>
      <c r="O4" s="115">
        <f>SUM(C4:N4)</f>
        <v>868</v>
      </c>
    </row>
    <row r="5" spans="1:17" x14ac:dyDescent="0.25">
      <c r="A5" s="32" t="s">
        <v>52</v>
      </c>
      <c r="B5" s="32" t="s">
        <v>41</v>
      </c>
      <c r="C5" s="115">
        <v>3658</v>
      </c>
      <c r="D5" s="115">
        <v>3264</v>
      </c>
      <c r="E5" s="115">
        <v>4289</v>
      </c>
      <c r="F5" s="116">
        <v>3828</v>
      </c>
      <c r="G5" s="115">
        <v>3424</v>
      </c>
      <c r="H5" s="115">
        <v>3123</v>
      </c>
      <c r="I5" s="115">
        <v>2689</v>
      </c>
      <c r="J5" s="115">
        <v>3178</v>
      </c>
      <c r="K5" s="115">
        <v>3397</v>
      </c>
      <c r="L5" s="115">
        <v>4408</v>
      </c>
      <c r="M5" s="115">
        <v>3164</v>
      </c>
      <c r="N5" s="115">
        <v>3305</v>
      </c>
      <c r="O5" s="115">
        <f>SUM(C5:N5)</f>
        <v>41727</v>
      </c>
    </row>
    <row r="6" spans="1:17" x14ac:dyDescent="0.25">
      <c r="A6" s="32" t="s">
        <v>18</v>
      </c>
      <c r="B6" s="32" t="s">
        <v>48</v>
      </c>
      <c r="C6" s="115">
        <v>2624</v>
      </c>
      <c r="D6" s="115">
        <v>2628</v>
      </c>
      <c r="E6" s="115">
        <v>3240</v>
      </c>
      <c r="F6" s="116">
        <v>1516</v>
      </c>
      <c r="G6" s="115">
        <v>2804</v>
      </c>
      <c r="H6" s="115">
        <v>2764</v>
      </c>
      <c r="I6" s="115">
        <v>1360</v>
      </c>
      <c r="J6" s="115">
        <v>920</v>
      </c>
      <c r="K6" s="115">
        <v>699</v>
      </c>
      <c r="L6" s="115">
        <v>844</v>
      </c>
      <c r="M6" s="115">
        <v>496</v>
      </c>
      <c r="N6" s="115">
        <v>1812</v>
      </c>
      <c r="O6" s="115">
        <f t="shared" ref="O6:O43" si="0">SUM(C6:N6)</f>
        <v>21707</v>
      </c>
    </row>
    <row r="7" spans="1:17" x14ac:dyDescent="0.25">
      <c r="A7" s="32" t="s">
        <v>55</v>
      </c>
      <c r="B7" s="32" t="s">
        <v>42</v>
      </c>
      <c r="C7" s="115">
        <v>335</v>
      </c>
      <c r="D7" s="115">
        <v>0</v>
      </c>
      <c r="E7" s="115">
        <v>302</v>
      </c>
      <c r="F7" s="116">
        <v>0</v>
      </c>
      <c r="G7" s="115">
        <v>0</v>
      </c>
      <c r="H7" s="115">
        <v>0</v>
      </c>
      <c r="I7" s="115">
        <v>0</v>
      </c>
      <c r="J7" s="115">
        <v>275</v>
      </c>
      <c r="K7" s="115">
        <v>0</v>
      </c>
      <c r="L7" s="115">
        <v>0</v>
      </c>
      <c r="M7" s="115">
        <v>0</v>
      </c>
      <c r="N7" s="115">
        <v>0</v>
      </c>
      <c r="O7" s="115">
        <f t="shared" si="0"/>
        <v>912</v>
      </c>
    </row>
    <row r="8" spans="1:17" x14ac:dyDescent="0.25">
      <c r="A8" s="32" t="s">
        <v>56</v>
      </c>
      <c r="B8" s="32" t="s">
        <v>43</v>
      </c>
      <c r="C8" s="115">
        <v>2212</v>
      </c>
      <c r="D8" s="115">
        <v>36</v>
      </c>
      <c r="E8" s="115">
        <v>2672</v>
      </c>
      <c r="F8" s="116">
        <v>60</v>
      </c>
      <c r="G8" s="115">
        <v>3422</v>
      </c>
      <c r="H8" s="115">
        <v>847</v>
      </c>
      <c r="I8" s="115">
        <v>71</v>
      </c>
      <c r="J8" s="115">
        <v>851</v>
      </c>
      <c r="K8" s="115">
        <v>0</v>
      </c>
      <c r="L8" s="115">
        <v>635</v>
      </c>
      <c r="M8" s="115">
        <v>326</v>
      </c>
      <c r="N8" s="115">
        <v>3582</v>
      </c>
      <c r="O8" s="115">
        <f t="shared" si="0"/>
        <v>14714</v>
      </c>
    </row>
    <row r="9" spans="1:17" x14ac:dyDescent="0.25">
      <c r="A9" s="32" t="s">
        <v>19</v>
      </c>
      <c r="B9" s="32" t="s">
        <v>41</v>
      </c>
      <c r="C9" s="115">
        <v>3668</v>
      </c>
      <c r="D9" s="115">
        <v>3622</v>
      </c>
      <c r="E9" s="115">
        <v>3748</v>
      </c>
      <c r="F9" s="116">
        <v>3428</v>
      </c>
      <c r="G9" s="115">
        <v>3665</v>
      </c>
      <c r="H9" s="115">
        <v>3337</v>
      </c>
      <c r="I9" s="115">
        <v>2587</v>
      </c>
      <c r="J9" s="115">
        <v>4411</v>
      </c>
      <c r="K9" s="115">
        <v>3323</v>
      </c>
      <c r="L9" s="115">
        <v>3579</v>
      </c>
      <c r="M9" s="115">
        <v>3465</v>
      </c>
      <c r="N9" s="115">
        <v>3873</v>
      </c>
      <c r="O9" s="115">
        <f t="shared" si="0"/>
        <v>42706</v>
      </c>
    </row>
    <row r="10" spans="1:17" x14ac:dyDescent="0.25">
      <c r="A10" s="32" t="s">
        <v>20</v>
      </c>
      <c r="B10" s="32" t="s">
        <v>41</v>
      </c>
      <c r="C10" s="115">
        <v>17712</v>
      </c>
      <c r="D10" s="115">
        <v>16506</v>
      </c>
      <c r="E10" s="115">
        <v>18061</v>
      </c>
      <c r="F10" s="116">
        <v>13528</v>
      </c>
      <c r="G10" s="115">
        <v>16923</v>
      </c>
      <c r="H10" s="115">
        <v>16374</v>
      </c>
      <c r="I10" s="115">
        <v>11132</v>
      </c>
      <c r="J10" s="115">
        <v>15734</v>
      </c>
      <c r="K10" s="115">
        <v>16471</v>
      </c>
      <c r="L10" s="115">
        <v>16741</v>
      </c>
      <c r="M10" s="115">
        <v>15311</v>
      </c>
      <c r="N10" s="115">
        <v>16888</v>
      </c>
      <c r="O10" s="115">
        <f t="shared" si="0"/>
        <v>191381</v>
      </c>
    </row>
    <row r="11" spans="1:17" x14ac:dyDescent="0.25">
      <c r="A11" s="32" t="s">
        <v>21</v>
      </c>
      <c r="B11" s="32" t="s">
        <v>41</v>
      </c>
      <c r="C11" s="115">
        <v>17322</v>
      </c>
      <c r="D11" s="115">
        <v>16134</v>
      </c>
      <c r="E11" s="115">
        <v>17000</v>
      </c>
      <c r="F11" s="116">
        <v>16488</v>
      </c>
      <c r="G11" s="115">
        <v>16567</v>
      </c>
      <c r="H11" s="115">
        <v>17181</v>
      </c>
      <c r="I11" s="115">
        <v>13692</v>
      </c>
      <c r="J11" s="115">
        <v>17482</v>
      </c>
      <c r="K11" s="115">
        <v>17543</v>
      </c>
      <c r="L11" s="115">
        <v>16911</v>
      </c>
      <c r="M11" s="115">
        <v>17126</v>
      </c>
      <c r="N11" s="115">
        <v>19111</v>
      </c>
      <c r="O11" s="115">
        <f t="shared" si="0"/>
        <v>202557</v>
      </c>
    </row>
    <row r="12" spans="1:17" x14ac:dyDescent="0.25">
      <c r="A12" s="32" t="s">
        <v>57</v>
      </c>
      <c r="B12" s="32" t="s">
        <v>41</v>
      </c>
      <c r="C12" s="115">
        <v>33</v>
      </c>
      <c r="D12" s="115">
        <v>42</v>
      </c>
      <c r="E12" s="115">
        <v>0</v>
      </c>
      <c r="F12" s="116">
        <v>34</v>
      </c>
      <c r="G12" s="115">
        <v>20</v>
      </c>
      <c r="H12" s="115">
        <v>35</v>
      </c>
      <c r="I12" s="115">
        <v>42</v>
      </c>
      <c r="J12" s="115">
        <v>28</v>
      </c>
      <c r="K12" s="115">
        <v>30</v>
      </c>
      <c r="L12" s="115">
        <v>10</v>
      </c>
      <c r="M12" s="115">
        <v>14</v>
      </c>
      <c r="N12" s="115">
        <v>5</v>
      </c>
      <c r="O12" s="115">
        <f t="shared" si="0"/>
        <v>293</v>
      </c>
    </row>
    <row r="13" spans="1:17" x14ac:dyDescent="0.25">
      <c r="A13" s="32" t="s">
        <v>22</v>
      </c>
      <c r="B13" s="32" t="s">
        <v>41</v>
      </c>
      <c r="C13" s="115">
        <v>0</v>
      </c>
      <c r="D13" s="115">
        <v>0</v>
      </c>
      <c r="E13" s="115">
        <v>0</v>
      </c>
      <c r="F13" s="116">
        <v>0</v>
      </c>
      <c r="G13" s="115">
        <v>0</v>
      </c>
      <c r="H13" s="115">
        <v>0</v>
      </c>
      <c r="I13" s="115">
        <v>0</v>
      </c>
      <c r="J13" s="115">
        <v>0</v>
      </c>
      <c r="K13" s="115">
        <v>0</v>
      </c>
      <c r="L13" s="115">
        <v>2625</v>
      </c>
      <c r="M13" s="115">
        <v>1713</v>
      </c>
      <c r="N13" s="115">
        <v>296</v>
      </c>
      <c r="O13" s="115">
        <f t="shared" si="0"/>
        <v>4634</v>
      </c>
    </row>
    <row r="14" spans="1:17" x14ac:dyDescent="0.25">
      <c r="A14" s="32" t="s">
        <v>23</v>
      </c>
      <c r="B14" s="32" t="s">
        <v>43</v>
      </c>
      <c r="C14" s="115">
        <v>41038</v>
      </c>
      <c r="D14" s="115">
        <v>36338</v>
      </c>
      <c r="E14" s="115">
        <v>40737</v>
      </c>
      <c r="F14" s="116">
        <v>39996</v>
      </c>
      <c r="G14" s="115">
        <v>41360</v>
      </c>
      <c r="H14" s="115">
        <v>40128</v>
      </c>
      <c r="I14" s="115">
        <v>31666</v>
      </c>
      <c r="J14" s="115">
        <v>41519</v>
      </c>
      <c r="K14" s="115">
        <v>40133</v>
      </c>
      <c r="L14" s="115">
        <v>41313</v>
      </c>
      <c r="M14" s="115">
        <v>40204</v>
      </c>
      <c r="N14" s="115">
        <v>41219</v>
      </c>
      <c r="O14" s="115">
        <f t="shared" si="0"/>
        <v>475651</v>
      </c>
    </row>
    <row r="15" spans="1:17" x14ac:dyDescent="0.25">
      <c r="A15" s="32" t="s">
        <v>24</v>
      </c>
      <c r="B15" s="32" t="s">
        <v>42</v>
      </c>
      <c r="C15" s="115">
        <v>0</v>
      </c>
      <c r="D15" s="115">
        <v>0</v>
      </c>
      <c r="E15" s="115">
        <v>0</v>
      </c>
      <c r="F15" s="116">
        <v>0</v>
      </c>
      <c r="G15" s="115">
        <v>0</v>
      </c>
      <c r="H15" s="115">
        <v>358</v>
      </c>
      <c r="I15" s="115">
        <v>0</v>
      </c>
      <c r="J15" s="115">
        <v>0</v>
      </c>
      <c r="K15" s="115">
        <v>4830</v>
      </c>
      <c r="L15" s="115">
        <v>0</v>
      </c>
      <c r="M15" s="115">
        <v>1709</v>
      </c>
      <c r="N15" s="115">
        <v>0</v>
      </c>
      <c r="O15" s="115">
        <f t="shared" si="0"/>
        <v>6897</v>
      </c>
    </row>
    <row r="16" spans="1:17" s="63" customFormat="1" x14ac:dyDescent="0.25">
      <c r="A16" s="103" t="s">
        <v>25</v>
      </c>
      <c r="B16" s="103" t="s">
        <v>44</v>
      </c>
      <c r="C16" s="117">
        <v>0</v>
      </c>
      <c r="D16" s="117">
        <v>0</v>
      </c>
      <c r="E16" s="117">
        <v>106</v>
      </c>
      <c r="F16" s="118">
        <v>40</v>
      </c>
      <c r="G16" s="117">
        <v>0</v>
      </c>
      <c r="H16" s="117">
        <v>80</v>
      </c>
      <c r="I16" s="117">
        <v>0</v>
      </c>
      <c r="J16" s="117">
        <v>169</v>
      </c>
      <c r="K16" s="117">
        <v>65</v>
      </c>
      <c r="L16" s="117">
        <v>38</v>
      </c>
      <c r="M16" s="117">
        <v>0</v>
      </c>
      <c r="N16" s="117">
        <v>69</v>
      </c>
      <c r="O16" s="117">
        <f t="shared" si="0"/>
        <v>567</v>
      </c>
    </row>
    <row r="17" spans="1:15" s="63" customFormat="1" x14ac:dyDescent="0.25">
      <c r="A17" s="103" t="s">
        <v>58</v>
      </c>
      <c r="B17" s="103" t="s">
        <v>41</v>
      </c>
      <c r="C17" s="117">
        <v>35</v>
      </c>
      <c r="D17" s="117">
        <v>10</v>
      </c>
      <c r="E17" s="117">
        <v>0</v>
      </c>
      <c r="F17" s="118">
        <v>21</v>
      </c>
      <c r="G17" s="117">
        <v>20</v>
      </c>
      <c r="H17" s="117">
        <v>0</v>
      </c>
      <c r="I17" s="117">
        <v>22</v>
      </c>
      <c r="J17" s="117">
        <v>15</v>
      </c>
      <c r="K17" s="117">
        <v>107</v>
      </c>
      <c r="L17" s="117">
        <v>47</v>
      </c>
      <c r="M17" s="117">
        <v>0</v>
      </c>
      <c r="N17" s="117">
        <v>70</v>
      </c>
      <c r="O17" s="117">
        <f t="shared" si="0"/>
        <v>347</v>
      </c>
    </row>
    <row r="18" spans="1:15" s="63" customFormat="1" x14ac:dyDescent="0.25">
      <c r="A18" s="103" t="s">
        <v>59</v>
      </c>
      <c r="B18" s="103" t="s">
        <v>41</v>
      </c>
      <c r="C18" s="117">
        <v>56</v>
      </c>
      <c r="D18" s="117">
        <v>20</v>
      </c>
      <c r="E18" s="117">
        <v>88</v>
      </c>
      <c r="F18" s="118">
        <v>34</v>
      </c>
      <c r="G18" s="117">
        <v>203</v>
      </c>
      <c r="H18" s="117">
        <v>38</v>
      </c>
      <c r="I18" s="117">
        <v>62</v>
      </c>
      <c r="J18" s="117">
        <v>19</v>
      </c>
      <c r="K18" s="117">
        <v>74</v>
      </c>
      <c r="L18" s="117">
        <v>26</v>
      </c>
      <c r="M18" s="117">
        <v>225</v>
      </c>
      <c r="N18" s="117">
        <v>119</v>
      </c>
      <c r="O18" s="117">
        <f t="shared" si="0"/>
        <v>964</v>
      </c>
    </row>
    <row r="19" spans="1:15" s="63" customFormat="1" x14ac:dyDescent="0.25">
      <c r="A19" s="103" t="s">
        <v>60</v>
      </c>
      <c r="B19" s="103" t="s">
        <v>41</v>
      </c>
      <c r="C19" s="117" t="s">
        <v>114</v>
      </c>
      <c r="D19" s="117">
        <v>0</v>
      </c>
      <c r="E19" s="117">
        <v>0</v>
      </c>
      <c r="F19" s="118">
        <v>0</v>
      </c>
      <c r="G19" s="117">
        <v>0</v>
      </c>
      <c r="H19" s="117">
        <v>0</v>
      </c>
      <c r="I19" s="117">
        <v>0</v>
      </c>
      <c r="J19" s="117">
        <v>0</v>
      </c>
      <c r="K19" s="117">
        <v>170</v>
      </c>
      <c r="L19" s="117">
        <v>1271</v>
      </c>
      <c r="M19" s="117">
        <v>0</v>
      </c>
      <c r="N19" s="117">
        <v>0</v>
      </c>
      <c r="O19" s="117">
        <f t="shared" si="0"/>
        <v>1441</v>
      </c>
    </row>
    <row r="20" spans="1:15" s="63" customFormat="1" x14ac:dyDescent="0.25">
      <c r="A20" s="103" t="s">
        <v>26</v>
      </c>
      <c r="B20" s="103" t="s">
        <v>45</v>
      </c>
      <c r="C20" s="117">
        <v>0</v>
      </c>
      <c r="D20" s="117">
        <v>0</v>
      </c>
      <c r="E20" s="117">
        <v>0</v>
      </c>
      <c r="F20" s="118">
        <v>0</v>
      </c>
      <c r="G20" s="117">
        <v>0</v>
      </c>
      <c r="H20" s="117">
        <v>0</v>
      </c>
      <c r="I20" s="117">
        <v>0</v>
      </c>
      <c r="J20" s="117">
        <v>47</v>
      </c>
      <c r="K20" s="117">
        <v>0</v>
      </c>
      <c r="L20" s="117">
        <v>0</v>
      </c>
      <c r="M20" s="117">
        <v>0</v>
      </c>
      <c r="N20" s="117">
        <v>0</v>
      </c>
      <c r="O20" s="117">
        <f t="shared" si="0"/>
        <v>47</v>
      </c>
    </row>
    <row r="21" spans="1:15" s="63" customFormat="1" x14ac:dyDescent="0.25">
      <c r="A21" s="103" t="s">
        <v>61</v>
      </c>
      <c r="B21" s="103" t="s">
        <v>42</v>
      </c>
      <c r="C21" s="117">
        <v>0</v>
      </c>
      <c r="D21" s="117">
        <v>0</v>
      </c>
      <c r="E21" s="117">
        <v>0</v>
      </c>
      <c r="F21" s="118">
        <v>0</v>
      </c>
      <c r="G21" s="117">
        <v>499</v>
      </c>
      <c r="H21" s="117">
        <v>0</v>
      </c>
      <c r="I21" s="117">
        <v>0</v>
      </c>
      <c r="J21" s="117">
        <v>0</v>
      </c>
      <c r="K21" s="117">
        <v>0</v>
      </c>
      <c r="L21" s="117">
        <v>0</v>
      </c>
      <c r="M21" s="117">
        <v>0</v>
      </c>
      <c r="N21" s="117">
        <v>0</v>
      </c>
      <c r="O21" s="117">
        <f t="shared" si="0"/>
        <v>499</v>
      </c>
    </row>
    <row r="22" spans="1:15" s="63" customFormat="1" x14ac:dyDescent="0.25">
      <c r="A22" s="103" t="s">
        <v>115</v>
      </c>
      <c r="B22" s="103" t="s">
        <v>40</v>
      </c>
      <c r="C22" s="117">
        <v>436</v>
      </c>
      <c r="D22" s="117">
        <v>307</v>
      </c>
      <c r="E22" s="117">
        <v>445</v>
      </c>
      <c r="F22" s="118">
        <v>452</v>
      </c>
      <c r="G22" s="117">
        <v>451</v>
      </c>
      <c r="H22" s="117">
        <v>216</v>
      </c>
      <c r="I22" s="117">
        <v>307</v>
      </c>
      <c r="J22" s="117">
        <v>469</v>
      </c>
      <c r="K22" s="117">
        <v>367</v>
      </c>
      <c r="L22" s="117">
        <v>257</v>
      </c>
      <c r="M22" s="117">
        <v>252</v>
      </c>
      <c r="N22" s="117">
        <v>407</v>
      </c>
      <c r="O22" s="117">
        <f t="shared" si="0"/>
        <v>4366</v>
      </c>
    </row>
    <row r="23" spans="1:15" s="63" customFormat="1" x14ac:dyDescent="0.25">
      <c r="A23" s="103" t="s">
        <v>116</v>
      </c>
      <c r="B23" s="103" t="s">
        <v>40</v>
      </c>
      <c r="C23" s="117">
        <v>384</v>
      </c>
      <c r="D23" s="117">
        <v>269</v>
      </c>
      <c r="E23" s="117">
        <v>362</v>
      </c>
      <c r="F23" s="118">
        <v>360</v>
      </c>
      <c r="G23" s="117">
        <v>371</v>
      </c>
      <c r="H23" s="117">
        <v>188</v>
      </c>
      <c r="I23" s="117">
        <v>251</v>
      </c>
      <c r="J23" s="117">
        <v>401</v>
      </c>
      <c r="K23" s="117">
        <v>295</v>
      </c>
      <c r="L23" s="117">
        <v>217</v>
      </c>
      <c r="M23" s="117">
        <v>224</v>
      </c>
      <c r="N23" s="117">
        <v>355</v>
      </c>
      <c r="O23" s="117">
        <f t="shared" si="0"/>
        <v>3677</v>
      </c>
    </row>
    <row r="24" spans="1:15" s="63" customFormat="1" x14ac:dyDescent="0.25">
      <c r="A24" s="103" t="s">
        <v>117</v>
      </c>
      <c r="B24" s="103" t="s">
        <v>40</v>
      </c>
      <c r="C24" s="117">
        <v>398</v>
      </c>
      <c r="D24" s="117">
        <v>335</v>
      </c>
      <c r="E24" s="117">
        <v>359</v>
      </c>
      <c r="F24" s="118">
        <v>362</v>
      </c>
      <c r="G24" s="117">
        <v>385</v>
      </c>
      <c r="H24" s="117">
        <v>202</v>
      </c>
      <c r="I24" s="117">
        <v>255</v>
      </c>
      <c r="J24" s="117">
        <v>414</v>
      </c>
      <c r="K24" s="117">
        <v>299</v>
      </c>
      <c r="L24" s="117">
        <v>224</v>
      </c>
      <c r="M24" s="117">
        <v>224</v>
      </c>
      <c r="N24" s="117">
        <v>345</v>
      </c>
      <c r="O24" s="117">
        <f t="shared" si="0"/>
        <v>3802</v>
      </c>
    </row>
    <row r="25" spans="1:15" s="63" customFormat="1" x14ac:dyDescent="0.25">
      <c r="A25" s="103" t="s">
        <v>118</v>
      </c>
      <c r="B25" s="103" t="s">
        <v>40</v>
      </c>
      <c r="C25" s="117">
        <v>466</v>
      </c>
      <c r="D25" s="117">
        <v>301</v>
      </c>
      <c r="E25" s="117">
        <v>443</v>
      </c>
      <c r="F25" s="118">
        <v>448</v>
      </c>
      <c r="G25" s="117">
        <v>444</v>
      </c>
      <c r="H25" s="117">
        <v>221</v>
      </c>
      <c r="I25" s="117">
        <v>295</v>
      </c>
      <c r="J25" s="117">
        <v>471</v>
      </c>
      <c r="K25" s="117">
        <v>364</v>
      </c>
      <c r="L25" s="117">
        <v>260</v>
      </c>
      <c r="M25" s="117">
        <v>244</v>
      </c>
      <c r="N25" s="117">
        <v>410</v>
      </c>
      <c r="O25" s="117">
        <f t="shared" si="0"/>
        <v>4367</v>
      </c>
    </row>
    <row r="26" spans="1:15" s="63" customFormat="1" x14ac:dyDescent="0.25">
      <c r="A26" s="103" t="s">
        <v>27</v>
      </c>
      <c r="B26" s="103" t="s">
        <v>45</v>
      </c>
      <c r="C26" s="117">
        <v>538</v>
      </c>
      <c r="D26" s="117">
        <v>540</v>
      </c>
      <c r="E26" s="117">
        <v>1304</v>
      </c>
      <c r="F26" s="118">
        <v>1727</v>
      </c>
      <c r="G26" s="117">
        <v>1550</v>
      </c>
      <c r="H26" s="117">
        <v>1881</v>
      </c>
      <c r="I26" s="117">
        <v>1082</v>
      </c>
      <c r="J26" s="117">
        <v>919</v>
      </c>
      <c r="K26" s="117">
        <v>1596</v>
      </c>
      <c r="L26" s="117">
        <v>1662</v>
      </c>
      <c r="M26" s="117">
        <v>1148</v>
      </c>
      <c r="N26" s="117">
        <v>824</v>
      </c>
      <c r="O26" s="117">
        <f t="shared" si="0"/>
        <v>14771</v>
      </c>
    </row>
    <row r="27" spans="1:15" s="63" customFormat="1" x14ac:dyDescent="0.25">
      <c r="A27" s="103" t="s">
        <v>28</v>
      </c>
      <c r="B27" s="103" t="s">
        <v>41</v>
      </c>
      <c r="C27" s="117">
        <v>40</v>
      </c>
      <c r="D27" s="117">
        <v>94</v>
      </c>
      <c r="E27" s="117">
        <v>341</v>
      </c>
      <c r="F27" s="118">
        <v>173</v>
      </c>
      <c r="G27" s="117">
        <v>21</v>
      </c>
      <c r="H27" s="117">
        <v>239</v>
      </c>
      <c r="I27" s="117">
        <v>40</v>
      </c>
      <c r="J27" s="117">
        <v>60</v>
      </c>
      <c r="K27" s="117">
        <v>105</v>
      </c>
      <c r="L27" s="117">
        <v>95</v>
      </c>
      <c r="M27" s="117">
        <v>78</v>
      </c>
      <c r="N27" s="117">
        <v>54</v>
      </c>
      <c r="O27" s="117">
        <f t="shared" si="0"/>
        <v>1340</v>
      </c>
    </row>
    <row r="28" spans="1:15" s="63" customFormat="1" x14ac:dyDescent="0.25">
      <c r="A28" s="103" t="s">
        <v>62</v>
      </c>
      <c r="B28" s="103" t="s">
        <v>41</v>
      </c>
      <c r="C28" s="117">
        <v>283</v>
      </c>
      <c r="D28" s="117">
        <v>263</v>
      </c>
      <c r="E28" s="117">
        <v>369</v>
      </c>
      <c r="F28" s="118">
        <v>317</v>
      </c>
      <c r="G28" s="117">
        <v>317</v>
      </c>
      <c r="H28" s="117">
        <v>240</v>
      </c>
      <c r="I28" s="117">
        <v>207</v>
      </c>
      <c r="J28" s="117">
        <v>327</v>
      </c>
      <c r="K28" s="117">
        <v>491</v>
      </c>
      <c r="L28" s="117">
        <v>312</v>
      </c>
      <c r="M28" s="117">
        <v>274</v>
      </c>
      <c r="N28" s="117">
        <v>295</v>
      </c>
      <c r="O28" s="117">
        <f t="shared" si="0"/>
        <v>3695</v>
      </c>
    </row>
    <row r="29" spans="1:15" s="63" customFormat="1" x14ac:dyDescent="0.25">
      <c r="A29" s="103" t="s">
        <v>29</v>
      </c>
      <c r="B29" s="103" t="s">
        <v>41</v>
      </c>
      <c r="C29" s="117">
        <v>0</v>
      </c>
      <c r="D29" s="117">
        <v>0</v>
      </c>
      <c r="E29" s="117">
        <v>38</v>
      </c>
      <c r="F29" s="118">
        <v>40</v>
      </c>
      <c r="G29" s="117">
        <v>0</v>
      </c>
      <c r="H29" s="117">
        <v>512</v>
      </c>
      <c r="I29" s="117">
        <v>0</v>
      </c>
      <c r="J29" s="117">
        <v>40</v>
      </c>
      <c r="K29" s="117">
        <v>0</v>
      </c>
      <c r="L29" s="117">
        <v>20</v>
      </c>
      <c r="M29" s="117">
        <v>0</v>
      </c>
      <c r="N29" s="117">
        <v>0</v>
      </c>
      <c r="O29" s="117">
        <f t="shared" si="0"/>
        <v>650</v>
      </c>
    </row>
    <row r="30" spans="1:15" s="63" customFormat="1" x14ac:dyDescent="0.25">
      <c r="A30" s="103" t="s">
        <v>30</v>
      </c>
      <c r="B30" s="103" t="s">
        <v>43</v>
      </c>
      <c r="C30" s="117">
        <v>0</v>
      </c>
      <c r="D30" s="117">
        <v>350</v>
      </c>
      <c r="E30" s="117">
        <v>0</v>
      </c>
      <c r="F30" s="118">
        <v>0</v>
      </c>
      <c r="G30" s="117">
        <v>0</v>
      </c>
      <c r="H30" s="117">
        <v>0</v>
      </c>
      <c r="I30" s="117">
        <v>180</v>
      </c>
      <c r="J30" s="117">
        <v>0</v>
      </c>
      <c r="K30" s="117">
        <v>0</v>
      </c>
      <c r="L30" s="117">
        <v>0</v>
      </c>
      <c r="M30" s="117">
        <v>0</v>
      </c>
      <c r="N30" s="117">
        <v>0</v>
      </c>
      <c r="O30" s="117">
        <f t="shared" si="0"/>
        <v>530</v>
      </c>
    </row>
    <row r="31" spans="1:15" s="63" customFormat="1" x14ac:dyDescent="0.25">
      <c r="A31" s="103" t="s">
        <v>54</v>
      </c>
      <c r="B31" s="103" t="s">
        <v>43</v>
      </c>
      <c r="C31" s="117">
        <v>5512</v>
      </c>
      <c r="D31" s="117">
        <v>13712</v>
      </c>
      <c r="E31" s="117">
        <v>0</v>
      </c>
      <c r="F31" s="118">
        <v>4657</v>
      </c>
      <c r="G31" s="117">
        <v>6133</v>
      </c>
      <c r="H31" s="117">
        <v>4980</v>
      </c>
      <c r="I31" s="117">
        <v>4393</v>
      </c>
      <c r="J31" s="117">
        <v>16690</v>
      </c>
      <c r="K31" s="117">
        <v>2312</v>
      </c>
      <c r="L31" s="117">
        <v>1725</v>
      </c>
      <c r="M31" s="117">
        <v>7761</v>
      </c>
      <c r="N31" s="117">
        <v>7275</v>
      </c>
      <c r="O31" s="117">
        <f t="shared" si="0"/>
        <v>75150</v>
      </c>
    </row>
    <row r="32" spans="1:15" s="63" customFormat="1" x14ac:dyDescent="0.25">
      <c r="A32" s="103" t="s">
        <v>31</v>
      </c>
      <c r="B32" s="103" t="s">
        <v>48</v>
      </c>
      <c r="C32" s="117">
        <v>30</v>
      </c>
      <c r="D32" s="117">
        <v>30</v>
      </c>
      <c r="E32" s="117">
        <v>56</v>
      </c>
      <c r="F32" s="118">
        <v>0</v>
      </c>
      <c r="G32" s="117">
        <v>30</v>
      </c>
      <c r="H32" s="117">
        <v>60</v>
      </c>
      <c r="I32" s="117">
        <v>0</v>
      </c>
      <c r="J32" s="117">
        <v>0</v>
      </c>
      <c r="K32" s="117">
        <v>0</v>
      </c>
      <c r="L32" s="117">
        <v>0</v>
      </c>
      <c r="M32" s="117">
        <v>0</v>
      </c>
      <c r="N32" s="117">
        <v>0</v>
      </c>
      <c r="O32" s="117">
        <f t="shared" si="0"/>
        <v>206</v>
      </c>
    </row>
    <row r="33" spans="1:16" s="63" customFormat="1" x14ac:dyDescent="0.25">
      <c r="A33" s="103" t="s">
        <v>32</v>
      </c>
      <c r="B33" s="103" t="s">
        <v>48</v>
      </c>
      <c r="C33" s="117">
        <v>60</v>
      </c>
      <c r="D33" s="117">
        <v>0</v>
      </c>
      <c r="E33" s="117">
        <v>60</v>
      </c>
      <c r="F33" s="118">
        <v>30</v>
      </c>
      <c r="G33" s="117">
        <v>30</v>
      </c>
      <c r="H33" s="117">
        <v>30</v>
      </c>
      <c r="I33" s="117">
        <v>0</v>
      </c>
      <c r="J33" s="117">
        <v>0</v>
      </c>
      <c r="K33" s="117">
        <v>0</v>
      </c>
      <c r="L33" s="117">
        <v>0</v>
      </c>
      <c r="M33" s="117">
        <v>0</v>
      </c>
      <c r="N33" s="117">
        <v>0</v>
      </c>
      <c r="O33" s="117">
        <f t="shared" si="0"/>
        <v>210</v>
      </c>
    </row>
    <row r="34" spans="1:16" s="63" customFormat="1" x14ac:dyDescent="0.25">
      <c r="A34" s="103" t="s">
        <v>33</v>
      </c>
      <c r="B34" s="103" t="s">
        <v>41</v>
      </c>
      <c r="C34" s="117">
        <v>24952</v>
      </c>
      <c r="D34" s="117">
        <v>23500</v>
      </c>
      <c r="E34" s="117">
        <v>25464</v>
      </c>
      <c r="F34" s="118">
        <v>25430</v>
      </c>
      <c r="G34" s="117">
        <v>24609</v>
      </c>
      <c r="H34" s="117">
        <v>27074</v>
      </c>
      <c r="I34" s="117">
        <v>19416</v>
      </c>
      <c r="J34" s="117">
        <v>26742</v>
      </c>
      <c r="K34" s="117">
        <v>24300</v>
      </c>
      <c r="L34" s="117">
        <v>24866</v>
      </c>
      <c r="M34" s="117">
        <v>25794</v>
      </c>
      <c r="N34" s="117">
        <v>25847</v>
      </c>
      <c r="O34" s="117">
        <f t="shared" si="0"/>
        <v>297994</v>
      </c>
    </row>
    <row r="35" spans="1:16" s="63" customFormat="1" x14ac:dyDescent="0.25">
      <c r="A35" s="103" t="s">
        <v>34</v>
      </c>
      <c r="B35" s="103" t="s">
        <v>45</v>
      </c>
      <c r="C35" s="117">
        <v>7381</v>
      </c>
      <c r="D35" s="117">
        <v>6650</v>
      </c>
      <c r="E35" s="117">
        <v>8472</v>
      </c>
      <c r="F35" s="118">
        <v>6962</v>
      </c>
      <c r="G35" s="117">
        <v>6777</v>
      </c>
      <c r="H35" s="117">
        <v>7146</v>
      </c>
      <c r="I35" s="117">
        <v>5329</v>
      </c>
      <c r="J35" s="117">
        <v>8049</v>
      </c>
      <c r="K35" s="117">
        <v>7577</v>
      </c>
      <c r="L35" s="117">
        <v>7415</v>
      </c>
      <c r="M35" s="117">
        <v>7060</v>
      </c>
      <c r="N35" s="117">
        <v>7582</v>
      </c>
      <c r="O35" s="117">
        <f t="shared" si="0"/>
        <v>86400</v>
      </c>
    </row>
    <row r="36" spans="1:16" s="63" customFormat="1" x14ac:dyDescent="0.25">
      <c r="A36" s="103" t="s">
        <v>63</v>
      </c>
      <c r="B36" s="103" t="s">
        <v>43</v>
      </c>
      <c r="C36" s="117">
        <v>0</v>
      </c>
      <c r="D36" s="117">
        <v>0</v>
      </c>
      <c r="E36" s="117">
        <v>0</v>
      </c>
      <c r="F36" s="118">
        <v>600</v>
      </c>
      <c r="G36" s="117">
        <v>355</v>
      </c>
      <c r="H36" s="117">
        <v>0</v>
      </c>
      <c r="I36" s="117">
        <v>240</v>
      </c>
      <c r="J36" s="117">
        <v>580</v>
      </c>
      <c r="K36" s="117">
        <v>766</v>
      </c>
      <c r="L36" s="117">
        <v>501</v>
      </c>
      <c r="M36" s="117">
        <v>361</v>
      </c>
      <c r="N36" s="117">
        <v>4947</v>
      </c>
      <c r="O36" s="117">
        <f t="shared" si="0"/>
        <v>8350</v>
      </c>
    </row>
    <row r="37" spans="1:16" s="63" customFormat="1" x14ac:dyDescent="0.25">
      <c r="A37" s="103" t="s">
        <v>64</v>
      </c>
      <c r="B37" s="103" t="s">
        <v>44</v>
      </c>
      <c r="C37" s="117">
        <v>50</v>
      </c>
      <c r="D37" s="117">
        <v>31</v>
      </c>
      <c r="E37" s="117">
        <v>61</v>
      </c>
      <c r="F37" s="118">
        <v>33</v>
      </c>
      <c r="G37" s="117">
        <v>18</v>
      </c>
      <c r="H37" s="117">
        <v>8</v>
      </c>
      <c r="I37" s="117">
        <v>0</v>
      </c>
      <c r="J37" s="117">
        <v>0</v>
      </c>
      <c r="K37" s="117">
        <v>45</v>
      </c>
      <c r="L37" s="117">
        <v>8</v>
      </c>
      <c r="M37" s="117">
        <v>96</v>
      </c>
      <c r="N37" s="117">
        <v>4</v>
      </c>
      <c r="O37" s="117">
        <f t="shared" si="0"/>
        <v>354</v>
      </c>
      <c r="P37" s="119"/>
    </row>
    <row r="38" spans="1:16" x14ac:dyDescent="0.25">
      <c r="A38" s="32" t="s">
        <v>65</v>
      </c>
      <c r="B38" s="32" t="s">
        <v>41</v>
      </c>
      <c r="C38" s="115">
        <v>16071</v>
      </c>
      <c r="D38" s="115">
        <v>14850</v>
      </c>
      <c r="E38" s="115">
        <v>16423</v>
      </c>
      <c r="F38" s="116">
        <v>15580</v>
      </c>
      <c r="G38" s="115">
        <v>16151</v>
      </c>
      <c r="H38" s="115">
        <v>15640</v>
      </c>
      <c r="I38" s="115">
        <v>12397</v>
      </c>
      <c r="J38" s="115">
        <v>16137</v>
      </c>
      <c r="K38" s="115">
        <v>15588</v>
      </c>
      <c r="L38" s="115">
        <v>16237</v>
      </c>
      <c r="M38" s="115">
        <v>15552</v>
      </c>
      <c r="N38" s="115">
        <v>16163</v>
      </c>
      <c r="O38" s="115">
        <f t="shared" si="0"/>
        <v>186789</v>
      </c>
    </row>
    <row r="39" spans="1:16" x14ac:dyDescent="0.25">
      <c r="A39" s="32" t="s">
        <v>35</v>
      </c>
      <c r="B39" s="32" t="s">
        <v>40</v>
      </c>
      <c r="C39" s="115">
        <v>15</v>
      </c>
      <c r="D39" s="115">
        <v>0</v>
      </c>
      <c r="E39" s="115">
        <v>15</v>
      </c>
      <c r="F39" s="116">
        <v>0</v>
      </c>
      <c r="G39" s="115">
        <v>0</v>
      </c>
      <c r="H39" s="115">
        <v>15</v>
      </c>
      <c r="I39" s="115">
        <v>0</v>
      </c>
      <c r="J39" s="115">
        <v>0</v>
      </c>
      <c r="K39" s="115">
        <v>15</v>
      </c>
      <c r="L39" s="115">
        <v>0</v>
      </c>
      <c r="M39" s="115">
        <v>10</v>
      </c>
      <c r="N39" s="115">
        <v>0</v>
      </c>
      <c r="O39" s="115">
        <f t="shared" si="0"/>
        <v>70</v>
      </c>
    </row>
    <row r="40" spans="1:16" x14ac:dyDescent="0.25">
      <c r="A40" s="32" t="s">
        <v>36</v>
      </c>
      <c r="B40" s="32" t="s">
        <v>40</v>
      </c>
      <c r="C40" s="115">
        <v>0</v>
      </c>
      <c r="D40" s="115">
        <v>87</v>
      </c>
      <c r="E40" s="115">
        <v>0</v>
      </c>
      <c r="F40" s="116">
        <v>0</v>
      </c>
      <c r="G40" s="115">
        <v>0</v>
      </c>
      <c r="H40" s="115">
        <v>108</v>
      </c>
      <c r="I40" s="115">
        <v>0</v>
      </c>
      <c r="J40" s="115">
        <v>0</v>
      </c>
      <c r="K40" s="115">
        <v>0</v>
      </c>
      <c r="L40" s="115">
        <v>0</v>
      </c>
      <c r="M40" s="115">
        <v>0</v>
      </c>
      <c r="N40" s="115">
        <v>0</v>
      </c>
      <c r="O40" s="115">
        <f t="shared" si="0"/>
        <v>195</v>
      </c>
    </row>
    <row r="41" spans="1:16" x14ac:dyDescent="0.25">
      <c r="A41" s="32" t="s">
        <v>37</v>
      </c>
      <c r="B41" s="32" t="s">
        <v>40</v>
      </c>
      <c r="C41" s="115">
        <v>0</v>
      </c>
      <c r="D41" s="115">
        <v>15</v>
      </c>
      <c r="E41" s="115">
        <v>15</v>
      </c>
      <c r="F41" s="116">
        <v>15</v>
      </c>
      <c r="G41" s="115">
        <v>0</v>
      </c>
      <c r="H41" s="115">
        <v>13</v>
      </c>
      <c r="I41" s="115">
        <v>0</v>
      </c>
      <c r="J41" s="115">
        <v>15</v>
      </c>
      <c r="K41" s="115">
        <v>0</v>
      </c>
      <c r="L41" s="115">
        <v>0</v>
      </c>
      <c r="M41" s="115">
        <v>0</v>
      </c>
      <c r="N41" s="115">
        <v>0</v>
      </c>
      <c r="O41" s="115">
        <f t="shared" si="0"/>
        <v>73</v>
      </c>
    </row>
    <row r="42" spans="1:16" x14ac:dyDescent="0.25">
      <c r="A42" s="32" t="s">
        <v>38</v>
      </c>
      <c r="B42" s="32" t="s">
        <v>41</v>
      </c>
      <c r="C42" s="115">
        <v>0</v>
      </c>
      <c r="D42" s="115">
        <v>55</v>
      </c>
      <c r="E42" s="115">
        <v>0</v>
      </c>
      <c r="F42" s="116">
        <v>10</v>
      </c>
      <c r="G42" s="115">
        <v>43</v>
      </c>
      <c r="H42" s="115">
        <v>54</v>
      </c>
      <c r="I42" s="115">
        <v>0</v>
      </c>
      <c r="J42" s="115">
        <v>60</v>
      </c>
      <c r="K42" s="115">
        <v>0</v>
      </c>
      <c r="L42" s="115">
        <v>55</v>
      </c>
      <c r="M42" s="115">
        <v>0</v>
      </c>
      <c r="N42" s="115">
        <v>55</v>
      </c>
      <c r="O42" s="115">
        <f t="shared" si="0"/>
        <v>332</v>
      </c>
    </row>
    <row r="43" spans="1:16" x14ac:dyDescent="0.25">
      <c r="A43" s="32" t="s">
        <v>39</v>
      </c>
      <c r="B43" s="32" t="s">
        <v>41</v>
      </c>
      <c r="C43" s="115">
        <v>3095</v>
      </c>
      <c r="D43" s="115">
        <v>2772</v>
      </c>
      <c r="E43" s="115">
        <v>3129</v>
      </c>
      <c r="F43" s="116">
        <v>2936</v>
      </c>
      <c r="G43" s="115">
        <v>3062</v>
      </c>
      <c r="H43" s="115">
        <v>2908</v>
      </c>
      <c r="I43" s="115">
        <v>2374</v>
      </c>
      <c r="J43" s="115">
        <v>3559</v>
      </c>
      <c r="K43" s="115">
        <v>3087</v>
      </c>
      <c r="L43" s="115">
        <v>3093</v>
      </c>
      <c r="M43" s="115">
        <v>2930</v>
      </c>
      <c r="N43" s="115">
        <v>2815</v>
      </c>
      <c r="O43" s="115">
        <f t="shared" si="0"/>
        <v>35760</v>
      </c>
    </row>
    <row r="44" spans="1:16" x14ac:dyDescent="0.25">
      <c r="A44" s="32"/>
      <c r="B44" s="32"/>
      <c r="C44" s="115"/>
      <c r="D44" s="115"/>
      <c r="E44" s="115"/>
      <c r="F44" s="116"/>
      <c r="G44" s="115"/>
      <c r="H44" s="115"/>
      <c r="I44" s="115"/>
      <c r="J44" s="115"/>
      <c r="K44" s="115"/>
      <c r="L44" s="115"/>
      <c r="M44" s="115"/>
      <c r="N44" s="115"/>
      <c r="O44" s="115"/>
    </row>
    <row r="45" spans="1:16" x14ac:dyDescent="0.25">
      <c r="A45" s="32" t="s">
        <v>119</v>
      </c>
      <c r="B45" s="32"/>
      <c r="C45" s="120">
        <f t="shared" ref="C45:O45" si="1">SUM(C2:C43)</f>
        <v>163816</v>
      </c>
      <c r="D45" s="120">
        <f t="shared" si="1"/>
        <v>156629</v>
      </c>
      <c r="E45" s="120">
        <f t="shared" si="1"/>
        <v>161207</v>
      </c>
      <c r="F45" s="120">
        <f t="shared" si="1"/>
        <v>151728</v>
      </c>
      <c r="G45" s="120">
        <f t="shared" si="1"/>
        <v>162158</v>
      </c>
      <c r="H45" s="120">
        <f t="shared" si="1"/>
        <v>160069</v>
      </c>
      <c r="I45" s="120">
        <f t="shared" si="1"/>
        <v>122881</v>
      </c>
      <c r="J45" s="120">
        <f t="shared" si="1"/>
        <v>179314</v>
      </c>
      <c r="K45" s="120">
        <f t="shared" si="1"/>
        <v>161501</v>
      </c>
      <c r="L45" s="120">
        <f t="shared" si="1"/>
        <v>163318</v>
      </c>
      <c r="M45" s="120">
        <f t="shared" si="1"/>
        <v>166920</v>
      </c>
      <c r="N45" s="120">
        <f t="shared" si="1"/>
        <v>175449</v>
      </c>
      <c r="O45" s="120">
        <f t="shared" si="1"/>
        <v>1924990</v>
      </c>
    </row>
    <row r="47" spans="1:16" ht="14.4" x14ac:dyDescent="0.3">
      <c r="A47" s="99" t="s">
        <v>140</v>
      </c>
    </row>
    <row r="48" spans="1:16" x14ac:dyDescent="0.25">
      <c r="A48" s="2" t="s">
        <v>142</v>
      </c>
    </row>
  </sheetData>
  <conditionalFormatting sqref="O1:O1048576">
    <cfRule type="dataBar" priority="1">
      <dataBar>
        <cfvo type="min"/>
        <cfvo type="max"/>
        <color rgb="FF63C384"/>
      </dataBar>
      <extLst>
        <ext xmlns:x14="http://schemas.microsoft.com/office/spreadsheetml/2009/9/main" uri="{B025F937-C7B1-47D3-B67F-A62EFF666E3E}">
          <x14:id>{3198F690-651A-4F94-93BD-93FFF248DF28}</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3198F690-651A-4F94-93BD-93FFF248DF28}">
            <x14:dataBar minLength="0" maxLength="100" border="1" negativeBarBorderColorSameAsPositive="0">
              <x14:cfvo type="autoMin"/>
              <x14:cfvo type="autoMax"/>
              <x14:borderColor rgb="FF63C384"/>
              <x14:negativeFillColor rgb="FFFF0000"/>
              <x14:negativeBorderColor rgb="FFFF0000"/>
              <x14:axisColor rgb="FF000000"/>
            </x14:dataBar>
          </x14:cfRule>
          <xm:sqref>O1:O1048576</xm:sqref>
        </x14:conditionalFormatting>
      </x14:conditionalFormattings>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8BEC30-2B86-42CD-8F72-67DC8861C0D4}">
  <sheetPr>
    <tabColor rgb="FF0B3D91"/>
  </sheetPr>
  <dimension ref="A1:W53"/>
  <sheetViews>
    <sheetView zoomScaleNormal="100" workbookViewId="0">
      <selection activeCell="E4" sqref="E4"/>
    </sheetView>
  </sheetViews>
  <sheetFormatPr defaultRowHeight="13.8" x14ac:dyDescent="0.25"/>
  <cols>
    <col min="1" max="1" width="17.5546875" style="2" customWidth="1"/>
    <col min="2" max="2" width="53.77734375" style="2" customWidth="1"/>
    <col min="3" max="22" width="11.44140625" style="85" bestFit="1" customWidth="1"/>
    <col min="23" max="23" width="13.21875" style="2" bestFit="1" customWidth="1"/>
    <col min="24" max="16384" width="8.88671875" style="2"/>
  </cols>
  <sheetData>
    <row r="1" spans="1:23" x14ac:dyDescent="0.25">
      <c r="A1" s="79" t="s">
        <v>16</v>
      </c>
      <c r="B1" s="79" t="s">
        <v>82</v>
      </c>
      <c r="C1" s="78">
        <v>2021</v>
      </c>
      <c r="D1" s="79">
        <v>2022</v>
      </c>
      <c r="E1" s="78">
        <v>2023</v>
      </c>
      <c r="F1" s="79">
        <v>2024</v>
      </c>
      <c r="G1" s="78">
        <v>2025</v>
      </c>
      <c r="H1" s="79">
        <v>2026</v>
      </c>
      <c r="I1" s="78">
        <v>2027</v>
      </c>
      <c r="J1" s="79">
        <v>2028</v>
      </c>
      <c r="K1" s="78">
        <v>2029</v>
      </c>
      <c r="L1" s="79">
        <v>2030</v>
      </c>
      <c r="M1" s="78">
        <v>2031</v>
      </c>
      <c r="N1" s="79">
        <v>2032</v>
      </c>
      <c r="O1" s="78">
        <v>2033</v>
      </c>
      <c r="P1" s="79">
        <v>2034</v>
      </c>
      <c r="Q1" s="78">
        <v>2035</v>
      </c>
      <c r="R1" s="79">
        <v>2036</v>
      </c>
      <c r="S1" s="78">
        <v>2037</v>
      </c>
      <c r="T1" s="79">
        <v>2038</v>
      </c>
      <c r="U1" s="78">
        <v>2039</v>
      </c>
      <c r="V1" s="79">
        <v>2040</v>
      </c>
    </row>
    <row r="2" spans="1:23" x14ac:dyDescent="0.25">
      <c r="A2" s="32" t="s">
        <v>17</v>
      </c>
      <c r="B2" s="32" t="s">
        <v>41</v>
      </c>
      <c r="C2" s="108">
        <f>IFERROR(INDEX(Minutes_by_use_case!$C$2:$C$9,MATCH($B2,Minutes_by_use_case!$A$2:$A$9,0)),"-")</f>
        <v>66700.388888888891</v>
      </c>
      <c r="D2" s="108">
        <f>IFERROR(INDEX(Minutes_by_use_case!$C$2:$C$9,MATCH($B2,Minutes_by_use_case!$A$2:$A$9,0)),"-")</f>
        <v>66700.388888888891</v>
      </c>
      <c r="E2" s="108">
        <f>IFERROR(INDEX(Minutes_by_use_case!$C$2:$C$9,MATCH($B2,Minutes_by_use_case!$A$2:$A$9,0)),"-")</f>
        <v>66700.388888888891</v>
      </c>
      <c r="F2" s="108">
        <f>IFERROR(INDEX(Minutes_by_use_case!$C$2:$C$9,MATCH($B2,Minutes_by_use_case!$A$2:$A$9,0)),"-")</f>
        <v>66700.388888888891</v>
      </c>
      <c r="G2" s="108">
        <f>IFERROR(INDEX(Minutes_by_use_case!$C$2:$C$9,MATCH($B2,Minutes_by_use_case!$A$2:$A$9,0)),"-")</f>
        <v>66700.388888888891</v>
      </c>
      <c r="H2" s="108">
        <f>IFERROR(INDEX(Minutes_by_use_case!$C$2:$C$9,MATCH($B2,Minutes_by_use_case!$A$2:$A$9,0)),"-")</f>
        <v>66700.388888888891</v>
      </c>
      <c r="I2" s="108">
        <f>IFERROR(INDEX(Minutes_by_use_case!$C$2:$C$9,MATCH($B2,Minutes_by_use_case!$A$2:$A$9,0)),"-")</f>
        <v>66700.388888888891</v>
      </c>
      <c r="J2" s="108">
        <f>IFERROR(INDEX(Minutes_by_use_case!$C$2:$C$9,MATCH($B2,Minutes_by_use_case!$A$2:$A$9,0)),"-")</f>
        <v>66700.388888888891</v>
      </c>
      <c r="K2" s="108">
        <f>IFERROR(INDEX(Minutes_by_use_case!$C$2:$C$9,MATCH($B2,Minutes_by_use_case!$A$2:$A$9,0)),"-")</f>
        <v>66700.388888888891</v>
      </c>
      <c r="L2" s="108">
        <f>IFERROR(INDEX(Minutes_by_use_case!$C$2:$C$9,MATCH($B2,Minutes_by_use_case!$A$2:$A$9,0)),"-")</f>
        <v>66700.388888888891</v>
      </c>
      <c r="M2" s="108">
        <f>IFERROR(INDEX(Minutes_by_use_case!$C$2:$C$9,MATCH($B2,Minutes_by_use_case!$A$2:$A$9,0)),"-")</f>
        <v>66700.388888888891</v>
      </c>
      <c r="N2" s="108">
        <f>IFERROR(INDEX(Minutes_by_use_case!$C$2:$C$9,MATCH($B2,Minutes_by_use_case!$A$2:$A$9,0)),"-")</f>
        <v>66700.388888888891</v>
      </c>
      <c r="O2" s="108">
        <f>IFERROR(INDEX(Minutes_by_use_case!$C$2:$C$9,MATCH($B2,Minutes_by_use_case!$A$2:$A$9,0)),"-")</f>
        <v>66700.388888888891</v>
      </c>
      <c r="P2" s="108">
        <f>IFERROR(INDEX(Minutes_by_use_case!$C$2:$C$9,MATCH($B2,Minutes_by_use_case!$A$2:$A$9,0)),"-")</f>
        <v>66700.388888888891</v>
      </c>
      <c r="Q2" s="108">
        <f>IFERROR(INDEX(Minutes_by_use_case!$C$2:$C$9,MATCH($B2,Minutes_by_use_case!$A$2:$A$9,0)),"-")</f>
        <v>66700.388888888891</v>
      </c>
      <c r="R2" s="108">
        <f>IFERROR(INDEX(Minutes_by_use_case!$C$2:$C$9,MATCH($B2,Minutes_by_use_case!$A$2:$A$9,0)),"-")</f>
        <v>66700.388888888891</v>
      </c>
      <c r="S2" s="108">
        <f>IFERROR(INDEX(Minutes_by_use_case!$C$2:$C$9,MATCH($B2,Minutes_by_use_case!$A$2:$A$9,0)),"-")</f>
        <v>66700.388888888891</v>
      </c>
      <c r="T2" s="108">
        <f>IFERROR(INDEX(Minutes_by_use_case!$C$2:$C$9,MATCH($B2,Minutes_by_use_case!$A$2:$A$9,0)),"-")</f>
        <v>66700.388888888891</v>
      </c>
      <c r="U2" s="108">
        <f>IFERROR(INDEX(Minutes_by_use_case!$C$2:$C$9,MATCH($B2,Minutes_by_use_case!$A$2:$A$9,0)),"-")</f>
        <v>66700.388888888891</v>
      </c>
      <c r="V2" s="108">
        <f>IFERROR(INDEX(Minutes_by_use_case!$C$2:$C$9,MATCH($B2,Minutes_by_use_case!$A$2:$A$9,0)),"-")</f>
        <v>66700.388888888891</v>
      </c>
      <c r="W2" s="22"/>
    </row>
    <row r="3" spans="1:23" x14ac:dyDescent="0.25">
      <c r="A3" s="32" t="s">
        <v>49</v>
      </c>
      <c r="B3" s="32" t="s">
        <v>41</v>
      </c>
      <c r="C3" s="108">
        <f>IFERROR(INDEX(Minutes_by_use_case!$C$2:$C$9,MATCH($B3,Minutes_by_use_case!$A$2:$A$9,0)),"-")</f>
        <v>66700.388888888891</v>
      </c>
      <c r="D3" s="108">
        <f>IFERROR(INDEX(Minutes_by_use_case!$C$2:$C$9,MATCH($B3,Minutes_by_use_case!$A$2:$A$9,0)),"-")</f>
        <v>66700.388888888891</v>
      </c>
      <c r="E3" s="108">
        <f>IFERROR(INDEX(Minutes_by_use_case!$C$2:$C$9,MATCH($B3,Minutes_by_use_case!$A$2:$A$9,0)),"-")</f>
        <v>66700.388888888891</v>
      </c>
      <c r="F3" s="108">
        <f>IFERROR(INDEX(Minutes_by_use_case!$C$2:$C$9,MATCH($B3,Minutes_by_use_case!$A$2:$A$9,0)),"-")</f>
        <v>66700.388888888891</v>
      </c>
      <c r="G3" s="108">
        <f>IFERROR(INDEX(Minutes_by_use_case!$C$2:$C$9,MATCH($B3,Minutes_by_use_case!$A$2:$A$9,0)),"-")</f>
        <v>66700.388888888891</v>
      </c>
      <c r="H3" s="108">
        <f>IFERROR(INDEX(Minutes_by_use_case!$C$2:$C$9,MATCH($B3,Minutes_by_use_case!$A$2:$A$9,0)),"-")</f>
        <v>66700.388888888891</v>
      </c>
      <c r="I3" s="108">
        <f>IFERROR(INDEX(Minutes_by_use_case!$C$2:$C$9,MATCH($B3,Minutes_by_use_case!$A$2:$A$9,0)),"-")</f>
        <v>66700.388888888891</v>
      </c>
      <c r="J3" s="108">
        <f>IFERROR(INDEX(Minutes_by_use_case!$C$2:$C$9,MATCH($B3,Minutes_by_use_case!$A$2:$A$9,0)),"-")</f>
        <v>66700.388888888891</v>
      </c>
      <c r="K3" s="108">
        <f>IFERROR(INDEX(Minutes_by_use_case!$C$2:$C$9,MATCH($B3,Minutes_by_use_case!$A$2:$A$9,0)),"-")</f>
        <v>66700.388888888891</v>
      </c>
      <c r="L3" s="108">
        <f>IFERROR(INDEX(Minutes_by_use_case!$C$2:$C$9,MATCH($B3,Minutes_by_use_case!$A$2:$A$9,0)),"-")</f>
        <v>66700.388888888891</v>
      </c>
      <c r="M3" s="108">
        <f>IFERROR(INDEX(Minutes_by_use_case!$C$2:$C$9,MATCH($B3,Minutes_by_use_case!$A$2:$A$9,0)),"-")</f>
        <v>66700.388888888891</v>
      </c>
      <c r="N3" s="108">
        <f>IFERROR(INDEX(Minutes_by_use_case!$C$2:$C$9,MATCH($B3,Minutes_by_use_case!$A$2:$A$9,0)),"-")</f>
        <v>66700.388888888891</v>
      </c>
      <c r="O3" s="108">
        <f>IFERROR(INDEX(Minutes_by_use_case!$C$2:$C$9,MATCH($B3,Minutes_by_use_case!$A$2:$A$9,0)),"-")</f>
        <v>66700.388888888891</v>
      </c>
      <c r="P3" s="108">
        <f>IFERROR(INDEX(Minutes_by_use_case!$C$2:$C$9,MATCH($B3,Minutes_by_use_case!$A$2:$A$9,0)),"-")</f>
        <v>66700.388888888891</v>
      </c>
      <c r="Q3" s="108">
        <f>IFERROR(INDEX(Minutes_by_use_case!$C$2:$C$9,MATCH($B3,Minutes_by_use_case!$A$2:$A$9,0)),"-")</f>
        <v>66700.388888888891</v>
      </c>
      <c r="R3" s="108">
        <f>IFERROR(INDEX(Minutes_by_use_case!$C$2:$C$9,MATCH($B3,Minutes_by_use_case!$A$2:$A$9,0)),"-")</f>
        <v>66700.388888888891</v>
      </c>
      <c r="S3" s="108">
        <f>IFERROR(INDEX(Minutes_by_use_case!$C$2:$C$9,MATCH($B3,Minutes_by_use_case!$A$2:$A$9,0)),"-")</f>
        <v>66700.388888888891</v>
      </c>
      <c r="T3" s="108">
        <f>IFERROR(INDEX(Minutes_by_use_case!$C$2:$C$9,MATCH($B3,Minutes_by_use_case!$A$2:$A$9,0)),"-")</f>
        <v>66700.388888888891</v>
      </c>
      <c r="U3" s="108">
        <f>IFERROR(INDEX(Minutes_by_use_case!$C$2:$C$9,MATCH($B3,Minutes_by_use_case!$A$2:$A$9,0)),"-")</f>
        <v>66700.388888888891</v>
      </c>
      <c r="V3" s="108">
        <f>IFERROR(INDEX(Minutes_by_use_case!$C$2:$C$9,MATCH($B3,Minutes_by_use_case!$A$2:$A$9,0)),"-")</f>
        <v>66700.388888888891</v>
      </c>
    </row>
    <row r="4" spans="1:23" x14ac:dyDescent="0.25">
      <c r="A4" s="32" t="s">
        <v>51</v>
      </c>
      <c r="B4" s="32" t="s">
        <v>42</v>
      </c>
      <c r="C4" s="108">
        <f>IFERROR(INDEX(Minutes_by_use_case!$C$2:$C$9,MATCH($B4,Minutes_by_use_case!$A$2:$A$9,0)),"-")</f>
        <v>2294</v>
      </c>
      <c r="D4" s="108">
        <f>IFERROR(INDEX(Minutes_by_use_case!$C$2:$C$9,MATCH($B4,Minutes_by_use_case!$A$2:$A$9,0)),"-")</f>
        <v>2294</v>
      </c>
      <c r="E4" s="108">
        <f>IFERROR(INDEX(Minutes_by_use_case!$C$2:$C$9,MATCH($B4,Minutes_by_use_case!$A$2:$A$9,0)),"-")</f>
        <v>2294</v>
      </c>
      <c r="F4" s="108">
        <f>IFERROR(INDEX(Minutes_by_use_case!$C$2:$C$9,MATCH($B4,Minutes_by_use_case!$A$2:$A$9,0)),"-")</f>
        <v>2294</v>
      </c>
      <c r="G4" s="108">
        <f>IFERROR(INDEX(Minutes_by_use_case!$C$2:$C$9,MATCH($B4,Minutes_by_use_case!$A$2:$A$9,0)),"-")</f>
        <v>2294</v>
      </c>
      <c r="H4" s="108">
        <f>IFERROR(INDEX(Minutes_by_use_case!$C$2:$C$9,MATCH($B4,Minutes_by_use_case!$A$2:$A$9,0)),"-")</f>
        <v>2294</v>
      </c>
      <c r="I4" s="108">
        <f>IFERROR(INDEX(Minutes_by_use_case!$C$2:$C$9,MATCH($B4,Minutes_by_use_case!$A$2:$A$9,0)),"-")</f>
        <v>2294</v>
      </c>
      <c r="J4" s="108">
        <f>IFERROR(INDEX(Minutes_by_use_case!$C$2:$C$9,MATCH($B4,Minutes_by_use_case!$A$2:$A$9,0)),"-")</f>
        <v>2294</v>
      </c>
      <c r="K4" s="108">
        <f>IFERROR(INDEX(Minutes_by_use_case!$C$2:$C$9,MATCH($B4,Minutes_by_use_case!$A$2:$A$9,0)),"-")</f>
        <v>2294</v>
      </c>
      <c r="L4" s="108">
        <f>IFERROR(INDEX(Minutes_by_use_case!$C$2:$C$9,MATCH($B4,Minutes_by_use_case!$A$2:$A$9,0)),"-")</f>
        <v>2294</v>
      </c>
      <c r="M4" s="108">
        <f>IFERROR(INDEX(Minutes_by_use_case!$C$2:$C$9,MATCH($B4,Minutes_by_use_case!$A$2:$A$9,0)),"-")</f>
        <v>2294</v>
      </c>
      <c r="N4" s="108">
        <f>IFERROR(INDEX(Minutes_by_use_case!$C$2:$C$9,MATCH($B4,Minutes_by_use_case!$A$2:$A$9,0)),"-")</f>
        <v>2294</v>
      </c>
      <c r="O4" s="108">
        <f>IFERROR(INDEX(Minutes_by_use_case!$C$2:$C$9,MATCH($B4,Minutes_by_use_case!$A$2:$A$9,0)),"-")</f>
        <v>2294</v>
      </c>
      <c r="P4" s="108">
        <f>IFERROR(INDEX(Minutes_by_use_case!$C$2:$C$9,MATCH($B4,Minutes_by_use_case!$A$2:$A$9,0)),"-")</f>
        <v>2294</v>
      </c>
      <c r="Q4" s="108">
        <f>IFERROR(INDEX(Minutes_by_use_case!$C$2:$C$9,MATCH($B4,Minutes_by_use_case!$A$2:$A$9,0)),"-")</f>
        <v>2294</v>
      </c>
      <c r="R4" s="108">
        <f>IFERROR(INDEX(Minutes_by_use_case!$C$2:$C$9,MATCH($B4,Minutes_by_use_case!$A$2:$A$9,0)),"-")</f>
        <v>2294</v>
      </c>
      <c r="S4" s="108">
        <f>IFERROR(INDEX(Minutes_by_use_case!$C$2:$C$9,MATCH($B4,Minutes_by_use_case!$A$2:$A$9,0)),"-")</f>
        <v>2294</v>
      </c>
      <c r="T4" s="108">
        <f>IFERROR(INDEX(Minutes_by_use_case!$C$2:$C$9,MATCH($B4,Minutes_by_use_case!$A$2:$A$9,0)),"-")</f>
        <v>2294</v>
      </c>
      <c r="U4" s="108">
        <f>IFERROR(INDEX(Minutes_by_use_case!$C$2:$C$9,MATCH($B4,Minutes_by_use_case!$A$2:$A$9,0)),"-")</f>
        <v>2294</v>
      </c>
      <c r="V4" s="108">
        <f>IFERROR(INDEX(Minutes_by_use_case!$C$2:$C$9,MATCH($B4,Minutes_by_use_case!$A$2:$A$9,0)),"-")</f>
        <v>2294</v>
      </c>
    </row>
    <row r="5" spans="1:23" x14ac:dyDescent="0.25">
      <c r="A5" s="32" t="s">
        <v>52</v>
      </c>
      <c r="B5" s="32" t="s">
        <v>41</v>
      </c>
      <c r="C5" s="108">
        <f>IFERROR(INDEX(Minutes_by_use_case!$C$2:$C$9,MATCH($B5,Minutes_by_use_case!$A$2:$A$9,0)),"-")</f>
        <v>66700.388888888891</v>
      </c>
      <c r="D5" s="108">
        <f>IFERROR(INDEX(Minutes_by_use_case!$C$2:$C$9,MATCH($B5,Minutes_by_use_case!$A$2:$A$9,0)),"-")</f>
        <v>66700.388888888891</v>
      </c>
      <c r="E5" s="108">
        <f>IFERROR(INDEX(Minutes_by_use_case!$C$2:$C$9,MATCH($B5,Minutes_by_use_case!$A$2:$A$9,0)),"-")</f>
        <v>66700.388888888891</v>
      </c>
      <c r="F5" s="108">
        <f>IFERROR(INDEX(Minutes_by_use_case!$C$2:$C$9,MATCH($B5,Minutes_by_use_case!$A$2:$A$9,0)),"-")</f>
        <v>66700.388888888891</v>
      </c>
      <c r="G5" s="108">
        <f>IFERROR(INDEX(Minutes_by_use_case!$C$2:$C$9,MATCH($B5,Minutes_by_use_case!$A$2:$A$9,0)),"-")</f>
        <v>66700.388888888891</v>
      </c>
      <c r="H5" s="108">
        <f>IFERROR(INDEX(Minutes_by_use_case!$C$2:$C$9,MATCH($B5,Minutes_by_use_case!$A$2:$A$9,0)),"-")</f>
        <v>66700.388888888891</v>
      </c>
      <c r="I5" s="108">
        <f>IFERROR(INDEX(Minutes_by_use_case!$C$2:$C$9,MATCH($B5,Minutes_by_use_case!$A$2:$A$9,0)),"-")</f>
        <v>66700.388888888891</v>
      </c>
      <c r="J5" s="108">
        <f>IFERROR(INDEX(Minutes_by_use_case!$C$2:$C$9,MATCH($B5,Minutes_by_use_case!$A$2:$A$9,0)),"-")</f>
        <v>66700.388888888891</v>
      </c>
      <c r="K5" s="108">
        <f>IFERROR(INDEX(Minutes_by_use_case!$C$2:$C$9,MATCH($B5,Minutes_by_use_case!$A$2:$A$9,0)),"-")</f>
        <v>66700.388888888891</v>
      </c>
      <c r="L5" s="108">
        <f>IFERROR(INDEX(Minutes_by_use_case!$C$2:$C$9,MATCH($B5,Minutes_by_use_case!$A$2:$A$9,0)),"-")</f>
        <v>66700.388888888891</v>
      </c>
      <c r="M5" s="108">
        <f>IFERROR(INDEX(Minutes_by_use_case!$C$2:$C$9,MATCH($B5,Minutes_by_use_case!$A$2:$A$9,0)),"-")</f>
        <v>66700.388888888891</v>
      </c>
      <c r="N5" s="108">
        <f>IFERROR(INDEX(Minutes_by_use_case!$C$2:$C$9,MATCH($B5,Minutes_by_use_case!$A$2:$A$9,0)),"-")</f>
        <v>66700.388888888891</v>
      </c>
      <c r="O5" s="108">
        <f>IFERROR(INDEX(Minutes_by_use_case!$C$2:$C$9,MATCH($B5,Minutes_by_use_case!$A$2:$A$9,0)),"-")</f>
        <v>66700.388888888891</v>
      </c>
      <c r="P5" s="108">
        <f>IFERROR(INDEX(Minutes_by_use_case!$C$2:$C$9,MATCH($B5,Minutes_by_use_case!$A$2:$A$9,0)),"-")</f>
        <v>66700.388888888891</v>
      </c>
      <c r="Q5" s="108">
        <f>IFERROR(INDEX(Minutes_by_use_case!$C$2:$C$9,MATCH($B5,Minutes_by_use_case!$A$2:$A$9,0)),"-")</f>
        <v>66700.388888888891</v>
      </c>
      <c r="R5" s="108">
        <f>IFERROR(INDEX(Minutes_by_use_case!$C$2:$C$9,MATCH($B5,Minutes_by_use_case!$A$2:$A$9,0)),"-")</f>
        <v>66700.388888888891</v>
      </c>
      <c r="S5" s="108">
        <f>IFERROR(INDEX(Minutes_by_use_case!$C$2:$C$9,MATCH($B5,Minutes_by_use_case!$A$2:$A$9,0)),"-")</f>
        <v>66700.388888888891</v>
      </c>
      <c r="T5" s="108">
        <f>IFERROR(INDEX(Minutes_by_use_case!$C$2:$C$9,MATCH($B5,Minutes_by_use_case!$A$2:$A$9,0)),"-")</f>
        <v>66700.388888888891</v>
      </c>
      <c r="U5" s="108">
        <f>IFERROR(INDEX(Minutes_by_use_case!$C$2:$C$9,MATCH($B5,Minutes_by_use_case!$A$2:$A$9,0)),"-")</f>
        <v>66700.388888888891</v>
      </c>
      <c r="V5" s="108">
        <f>IFERROR(INDEX(Minutes_by_use_case!$C$2:$C$9,MATCH($B5,Minutes_by_use_case!$A$2:$A$9,0)),"-")</f>
        <v>66700.388888888891</v>
      </c>
    </row>
    <row r="6" spans="1:23" x14ac:dyDescent="0.25">
      <c r="A6" s="32" t="s">
        <v>18</v>
      </c>
      <c r="B6" s="32" t="s">
        <v>48</v>
      </c>
      <c r="C6" s="108" t="str">
        <f>IFERROR(INDEX(Minutes_by_use_case!$C$2:$C$9,MATCH($B6,Minutes_by_use_case!$A$2:$A$9,0)),"-")</f>
        <v>-</v>
      </c>
      <c r="D6" s="108" t="str">
        <f>IFERROR(INDEX(Minutes_by_use_case!$C$2:$C$9,MATCH($B6,Minutes_by_use_case!$A$2:$A$9,0)),"-")</f>
        <v>-</v>
      </c>
      <c r="E6" s="108" t="str">
        <f>IFERROR(INDEX(Minutes_by_use_case!$C$2:$C$9,MATCH($B6,Minutes_by_use_case!$A$2:$A$9,0)),"-")</f>
        <v>-</v>
      </c>
      <c r="F6" s="108" t="str">
        <f>IFERROR(INDEX(Minutes_by_use_case!$C$2:$C$9,MATCH($B6,Minutes_by_use_case!$A$2:$A$9,0)),"-")</f>
        <v>-</v>
      </c>
      <c r="G6" s="108" t="str">
        <f>IFERROR(INDEX(Minutes_by_use_case!$C$2:$C$9,MATCH($B6,Minutes_by_use_case!$A$2:$A$9,0)),"-")</f>
        <v>-</v>
      </c>
      <c r="H6" s="108" t="str">
        <f>IFERROR(INDEX(Minutes_by_use_case!$C$2:$C$9,MATCH($B6,Minutes_by_use_case!$A$2:$A$9,0)),"-")</f>
        <v>-</v>
      </c>
      <c r="I6" s="108" t="str">
        <f>IFERROR(INDEX(Minutes_by_use_case!$C$2:$C$9,MATCH($B6,Minutes_by_use_case!$A$2:$A$9,0)),"-")</f>
        <v>-</v>
      </c>
      <c r="J6" s="108" t="str">
        <f>IFERROR(INDEX(Minutes_by_use_case!$C$2:$C$9,MATCH($B6,Minutes_by_use_case!$A$2:$A$9,0)),"-")</f>
        <v>-</v>
      </c>
      <c r="K6" s="108" t="str">
        <f>IFERROR(INDEX(Minutes_by_use_case!$C$2:$C$9,MATCH($B6,Minutes_by_use_case!$A$2:$A$9,0)),"-")</f>
        <v>-</v>
      </c>
      <c r="L6" s="108" t="str">
        <f>IFERROR(INDEX(Minutes_by_use_case!$C$2:$C$9,MATCH($B6,Minutes_by_use_case!$A$2:$A$9,0)),"-")</f>
        <v>-</v>
      </c>
      <c r="M6" s="108" t="str">
        <f>IFERROR(INDEX(Minutes_by_use_case!$C$2:$C$9,MATCH($B6,Minutes_by_use_case!$A$2:$A$9,0)),"-")</f>
        <v>-</v>
      </c>
      <c r="N6" s="108" t="str">
        <f>IFERROR(INDEX(Minutes_by_use_case!$C$2:$C$9,MATCH($B6,Minutes_by_use_case!$A$2:$A$9,0)),"-")</f>
        <v>-</v>
      </c>
      <c r="O6" s="108" t="str">
        <f>IFERROR(INDEX(Minutes_by_use_case!$C$2:$C$9,MATCH($B6,Minutes_by_use_case!$A$2:$A$9,0)),"-")</f>
        <v>-</v>
      </c>
      <c r="P6" s="108" t="str">
        <f>IFERROR(INDEX(Minutes_by_use_case!$C$2:$C$9,MATCH($B6,Minutes_by_use_case!$A$2:$A$9,0)),"-")</f>
        <v>-</v>
      </c>
      <c r="Q6" s="108" t="str">
        <f>IFERROR(INDEX(Minutes_by_use_case!$C$2:$C$9,MATCH($B6,Minutes_by_use_case!$A$2:$A$9,0)),"-")</f>
        <v>-</v>
      </c>
      <c r="R6" s="108" t="str">
        <f>IFERROR(INDEX(Minutes_by_use_case!$C$2:$C$9,MATCH($B6,Minutes_by_use_case!$A$2:$A$9,0)),"-")</f>
        <v>-</v>
      </c>
      <c r="S6" s="108" t="str">
        <f>IFERROR(INDEX(Minutes_by_use_case!$C$2:$C$9,MATCH($B6,Minutes_by_use_case!$A$2:$A$9,0)),"-")</f>
        <v>-</v>
      </c>
      <c r="T6" s="108" t="str">
        <f>IFERROR(INDEX(Minutes_by_use_case!$C$2:$C$9,MATCH($B6,Minutes_by_use_case!$A$2:$A$9,0)),"-")</f>
        <v>-</v>
      </c>
      <c r="U6" s="108" t="str">
        <f>IFERROR(INDEX(Minutes_by_use_case!$C$2:$C$9,MATCH($B6,Minutes_by_use_case!$A$2:$A$9,0)),"-")</f>
        <v>-</v>
      </c>
      <c r="V6" s="108" t="str">
        <f>IFERROR(INDEX(Minutes_by_use_case!$C$2:$C$9,MATCH($B6,Minutes_by_use_case!$A$2:$A$9,0)),"-")</f>
        <v>-</v>
      </c>
    </row>
    <row r="7" spans="1:23" x14ac:dyDescent="0.25">
      <c r="A7" s="32" t="s">
        <v>55</v>
      </c>
      <c r="B7" s="32" t="s">
        <v>42</v>
      </c>
      <c r="C7" s="108">
        <f>IFERROR(INDEX(Minutes_by_use_case!$C$2:$C$9,MATCH($B7,Minutes_by_use_case!$A$2:$A$9,0)),"-")</f>
        <v>2294</v>
      </c>
      <c r="D7" s="108">
        <f>IFERROR(INDEX(Minutes_by_use_case!$C$2:$C$9,MATCH($B7,Minutes_by_use_case!$A$2:$A$9,0)),"-")</f>
        <v>2294</v>
      </c>
      <c r="E7" s="108">
        <f>IFERROR(INDEX(Minutes_by_use_case!$C$2:$C$9,MATCH($B7,Minutes_by_use_case!$A$2:$A$9,0)),"-")</f>
        <v>2294</v>
      </c>
      <c r="F7" s="108">
        <f>IFERROR(INDEX(Minutes_by_use_case!$C$2:$C$9,MATCH($B7,Minutes_by_use_case!$A$2:$A$9,0)),"-")</f>
        <v>2294</v>
      </c>
      <c r="G7" s="108">
        <f>IFERROR(INDEX(Minutes_by_use_case!$C$2:$C$9,MATCH($B7,Minutes_by_use_case!$A$2:$A$9,0)),"-")</f>
        <v>2294</v>
      </c>
      <c r="H7" s="108">
        <f>IFERROR(INDEX(Minutes_by_use_case!$C$2:$C$9,MATCH($B7,Minutes_by_use_case!$A$2:$A$9,0)),"-")</f>
        <v>2294</v>
      </c>
      <c r="I7" s="108">
        <f>IFERROR(INDEX(Minutes_by_use_case!$C$2:$C$9,MATCH($B7,Minutes_by_use_case!$A$2:$A$9,0)),"-")</f>
        <v>2294</v>
      </c>
      <c r="J7" s="108">
        <f>IFERROR(INDEX(Minutes_by_use_case!$C$2:$C$9,MATCH($B7,Minutes_by_use_case!$A$2:$A$9,0)),"-")</f>
        <v>2294</v>
      </c>
      <c r="K7" s="108">
        <f>IFERROR(INDEX(Minutes_by_use_case!$C$2:$C$9,MATCH($B7,Minutes_by_use_case!$A$2:$A$9,0)),"-")</f>
        <v>2294</v>
      </c>
      <c r="L7" s="108">
        <f>IFERROR(INDEX(Minutes_by_use_case!$C$2:$C$9,MATCH($B7,Minutes_by_use_case!$A$2:$A$9,0)),"-")</f>
        <v>2294</v>
      </c>
      <c r="M7" s="108">
        <f>IFERROR(INDEX(Minutes_by_use_case!$C$2:$C$9,MATCH($B7,Minutes_by_use_case!$A$2:$A$9,0)),"-")</f>
        <v>2294</v>
      </c>
      <c r="N7" s="108">
        <f>IFERROR(INDEX(Minutes_by_use_case!$C$2:$C$9,MATCH($B7,Minutes_by_use_case!$A$2:$A$9,0)),"-")</f>
        <v>2294</v>
      </c>
      <c r="O7" s="108">
        <f>IFERROR(INDEX(Minutes_by_use_case!$C$2:$C$9,MATCH($B7,Minutes_by_use_case!$A$2:$A$9,0)),"-")</f>
        <v>2294</v>
      </c>
      <c r="P7" s="108">
        <f>IFERROR(INDEX(Minutes_by_use_case!$C$2:$C$9,MATCH($B7,Minutes_by_use_case!$A$2:$A$9,0)),"-")</f>
        <v>2294</v>
      </c>
      <c r="Q7" s="108">
        <f>IFERROR(INDEX(Minutes_by_use_case!$C$2:$C$9,MATCH($B7,Minutes_by_use_case!$A$2:$A$9,0)),"-")</f>
        <v>2294</v>
      </c>
      <c r="R7" s="108">
        <f>IFERROR(INDEX(Minutes_by_use_case!$C$2:$C$9,MATCH($B7,Minutes_by_use_case!$A$2:$A$9,0)),"-")</f>
        <v>2294</v>
      </c>
      <c r="S7" s="108">
        <f>IFERROR(INDEX(Minutes_by_use_case!$C$2:$C$9,MATCH($B7,Minutes_by_use_case!$A$2:$A$9,0)),"-")</f>
        <v>2294</v>
      </c>
      <c r="T7" s="108">
        <f>IFERROR(INDEX(Minutes_by_use_case!$C$2:$C$9,MATCH($B7,Minutes_by_use_case!$A$2:$A$9,0)),"-")</f>
        <v>2294</v>
      </c>
      <c r="U7" s="108">
        <f>IFERROR(INDEX(Minutes_by_use_case!$C$2:$C$9,MATCH($B7,Minutes_by_use_case!$A$2:$A$9,0)),"-")</f>
        <v>2294</v>
      </c>
      <c r="V7" s="108">
        <f>IFERROR(INDEX(Minutes_by_use_case!$C$2:$C$9,MATCH($B7,Minutes_by_use_case!$A$2:$A$9,0)),"-")</f>
        <v>2294</v>
      </c>
    </row>
    <row r="8" spans="1:23" x14ac:dyDescent="0.25">
      <c r="A8" s="32" t="s">
        <v>56</v>
      </c>
      <c r="B8" s="32" t="s">
        <v>43</v>
      </c>
      <c r="C8" s="108">
        <f>IFERROR(INDEX(Minutes_by_use_case!$C$2:$C$9,MATCH($B8,Minutes_by_use_case!$A$2:$A$9,0)),"-")</f>
        <v>114879</v>
      </c>
      <c r="D8" s="108">
        <f>IFERROR(INDEX(Minutes_by_use_case!$C$2:$C$9,MATCH($B8,Minutes_by_use_case!$A$2:$A$9,0)),"-")</f>
        <v>114879</v>
      </c>
      <c r="E8" s="108">
        <f>IFERROR(INDEX(Minutes_by_use_case!$C$2:$C$9,MATCH($B8,Minutes_by_use_case!$A$2:$A$9,0)),"-")</f>
        <v>114879</v>
      </c>
      <c r="F8" s="108">
        <f>IFERROR(INDEX(Minutes_by_use_case!$C$2:$C$9,MATCH($B8,Minutes_by_use_case!$A$2:$A$9,0)),"-")</f>
        <v>114879</v>
      </c>
      <c r="G8" s="108">
        <f>IFERROR(INDEX(Minutes_by_use_case!$C$2:$C$9,MATCH($B8,Minutes_by_use_case!$A$2:$A$9,0)),"-")</f>
        <v>114879</v>
      </c>
      <c r="H8" s="108">
        <f>IFERROR(INDEX(Minutes_by_use_case!$C$2:$C$9,MATCH($B8,Minutes_by_use_case!$A$2:$A$9,0)),"-")</f>
        <v>114879</v>
      </c>
      <c r="I8" s="108">
        <f>IFERROR(INDEX(Minutes_by_use_case!$C$2:$C$9,MATCH($B8,Minutes_by_use_case!$A$2:$A$9,0)),"-")</f>
        <v>114879</v>
      </c>
      <c r="J8" s="108">
        <f>IFERROR(INDEX(Minutes_by_use_case!$C$2:$C$9,MATCH($B8,Minutes_by_use_case!$A$2:$A$9,0)),"-")</f>
        <v>114879</v>
      </c>
      <c r="K8" s="108">
        <f>IFERROR(INDEX(Minutes_by_use_case!$C$2:$C$9,MATCH($B8,Minutes_by_use_case!$A$2:$A$9,0)),"-")</f>
        <v>114879</v>
      </c>
      <c r="L8" s="108">
        <f>IFERROR(INDEX(Minutes_by_use_case!$C$2:$C$9,MATCH($B8,Minutes_by_use_case!$A$2:$A$9,0)),"-")</f>
        <v>114879</v>
      </c>
      <c r="M8" s="108">
        <f>IFERROR(INDEX(Minutes_by_use_case!$C$2:$C$9,MATCH($B8,Minutes_by_use_case!$A$2:$A$9,0)),"-")</f>
        <v>114879</v>
      </c>
      <c r="N8" s="108">
        <f>IFERROR(INDEX(Minutes_by_use_case!$C$2:$C$9,MATCH($B8,Minutes_by_use_case!$A$2:$A$9,0)),"-")</f>
        <v>114879</v>
      </c>
      <c r="O8" s="108">
        <f>IFERROR(INDEX(Minutes_by_use_case!$C$2:$C$9,MATCH($B8,Minutes_by_use_case!$A$2:$A$9,0)),"-")</f>
        <v>114879</v>
      </c>
      <c r="P8" s="108">
        <f>IFERROR(INDEX(Minutes_by_use_case!$C$2:$C$9,MATCH($B8,Minutes_by_use_case!$A$2:$A$9,0)),"-")</f>
        <v>114879</v>
      </c>
      <c r="Q8" s="108">
        <f>IFERROR(INDEX(Minutes_by_use_case!$C$2:$C$9,MATCH($B8,Minutes_by_use_case!$A$2:$A$9,0)),"-")</f>
        <v>114879</v>
      </c>
      <c r="R8" s="108">
        <f>IFERROR(INDEX(Minutes_by_use_case!$C$2:$C$9,MATCH($B8,Minutes_by_use_case!$A$2:$A$9,0)),"-")</f>
        <v>114879</v>
      </c>
      <c r="S8" s="108">
        <f>IFERROR(INDEX(Minutes_by_use_case!$C$2:$C$9,MATCH($B8,Minutes_by_use_case!$A$2:$A$9,0)),"-")</f>
        <v>114879</v>
      </c>
      <c r="T8" s="108">
        <f>IFERROR(INDEX(Minutes_by_use_case!$C$2:$C$9,MATCH($B8,Minutes_by_use_case!$A$2:$A$9,0)),"-")</f>
        <v>114879</v>
      </c>
      <c r="U8" s="108">
        <f>IFERROR(INDEX(Minutes_by_use_case!$C$2:$C$9,MATCH($B8,Minutes_by_use_case!$A$2:$A$9,0)),"-")</f>
        <v>114879</v>
      </c>
      <c r="V8" s="108">
        <f>IFERROR(INDEX(Minutes_by_use_case!$C$2:$C$9,MATCH($B8,Minutes_by_use_case!$A$2:$A$9,0)),"-")</f>
        <v>114879</v>
      </c>
    </row>
    <row r="9" spans="1:23" x14ac:dyDescent="0.25">
      <c r="A9" s="32" t="s">
        <v>19</v>
      </c>
      <c r="B9" s="32" t="s">
        <v>41</v>
      </c>
      <c r="C9" s="108">
        <f>IFERROR(INDEX(Minutes_by_use_case!$C$2:$C$9,MATCH($B9,Minutes_by_use_case!$A$2:$A$9,0)),"-")</f>
        <v>66700.388888888891</v>
      </c>
      <c r="D9" s="108">
        <f>IFERROR(INDEX(Minutes_by_use_case!$C$2:$C$9,MATCH($B9,Minutes_by_use_case!$A$2:$A$9,0)),"-")</f>
        <v>66700.388888888891</v>
      </c>
      <c r="E9" s="108">
        <f>IFERROR(INDEX(Minutes_by_use_case!$C$2:$C$9,MATCH($B9,Minutes_by_use_case!$A$2:$A$9,0)),"-")</f>
        <v>66700.388888888891</v>
      </c>
      <c r="F9" s="108">
        <f>IFERROR(INDEX(Minutes_by_use_case!$C$2:$C$9,MATCH($B9,Minutes_by_use_case!$A$2:$A$9,0)),"-")</f>
        <v>66700.388888888891</v>
      </c>
      <c r="G9" s="108">
        <f>IFERROR(INDEX(Minutes_by_use_case!$C$2:$C$9,MATCH($B9,Minutes_by_use_case!$A$2:$A$9,0)),"-")</f>
        <v>66700.388888888891</v>
      </c>
      <c r="H9" s="108">
        <f>IFERROR(INDEX(Minutes_by_use_case!$C$2:$C$9,MATCH($B9,Minutes_by_use_case!$A$2:$A$9,0)),"-")</f>
        <v>66700.388888888891</v>
      </c>
      <c r="I9" s="108">
        <f>IFERROR(INDEX(Minutes_by_use_case!$C$2:$C$9,MATCH($B9,Minutes_by_use_case!$A$2:$A$9,0)),"-")</f>
        <v>66700.388888888891</v>
      </c>
      <c r="J9" s="108">
        <f>IFERROR(INDEX(Minutes_by_use_case!$C$2:$C$9,MATCH($B9,Minutes_by_use_case!$A$2:$A$9,0)),"-")</f>
        <v>66700.388888888891</v>
      </c>
      <c r="K9" s="108">
        <f>IFERROR(INDEX(Minutes_by_use_case!$C$2:$C$9,MATCH($B9,Minutes_by_use_case!$A$2:$A$9,0)),"-")</f>
        <v>66700.388888888891</v>
      </c>
      <c r="L9" s="108">
        <f>IFERROR(INDEX(Minutes_by_use_case!$C$2:$C$9,MATCH($B9,Minutes_by_use_case!$A$2:$A$9,0)),"-")</f>
        <v>66700.388888888891</v>
      </c>
      <c r="M9" s="108">
        <f>IFERROR(INDEX(Minutes_by_use_case!$C$2:$C$9,MATCH($B9,Minutes_by_use_case!$A$2:$A$9,0)),"-")</f>
        <v>66700.388888888891</v>
      </c>
      <c r="N9" s="108">
        <f>IFERROR(INDEX(Minutes_by_use_case!$C$2:$C$9,MATCH($B9,Minutes_by_use_case!$A$2:$A$9,0)),"-")</f>
        <v>66700.388888888891</v>
      </c>
      <c r="O9" s="108">
        <f>IFERROR(INDEX(Minutes_by_use_case!$C$2:$C$9,MATCH($B9,Minutes_by_use_case!$A$2:$A$9,0)),"-")</f>
        <v>66700.388888888891</v>
      </c>
      <c r="P9" s="108">
        <f>IFERROR(INDEX(Minutes_by_use_case!$C$2:$C$9,MATCH($B9,Minutes_by_use_case!$A$2:$A$9,0)),"-")</f>
        <v>66700.388888888891</v>
      </c>
      <c r="Q9" s="108">
        <f>IFERROR(INDEX(Minutes_by_use_case!$C$2:$C$9,MATCH($B9,Minutes_by_use_case!$A$2:$A$9,0)),"-")</f>
        <v>66700.388888888891</v>
      </c>
      <c r="R9" s="108">
        <f>IFERROR(INDEX(Minutes_by_use_case!$C$2:$C$9,MATCH($B9,Minutes_by_use_case!$A$2:$A$9,0)),"-")</f>
        <v>66700.388888888891</v>
      </c>
      <c r="S9" s="108">
        <f>IFERROR(INDEX(Minutes_by_use_case!$C$2:$C$9,MATCH($B9,Minutes_by_use_case!$A$2:$A$9,0)),"-")</f>
        <v>66700.388888888891</v>
      </c>
      <c r="T9" s="108">
        <f>IFERROR(INDEX(Minutes_by_use_case!$C$2:$C$9,MATCH($B9,Minutes_by_use_case!$A$2:$A$9,0)),"-")</f>
        <v>66700.388888888891</v>
      </c>
      <c r="U9" s="108">
        <f>IFERROR(INDEX(Minutes_by_use_case!$C$2:$C$9,MATCH($B9,Minutes_by_use_case!$A$2:$A$9,0)),"-")</f>
        <v>66700.388888888891</v>
      </c>
      <c r="V9" s="108">
        <f>IFERROR(INDEX(Minutes_by_use_case!$C$2:$C$9,MATCH($B9,Minutes_by_use_case!$A$2:$A$9,0)),"-")</f>
        <v>66700.388888888891</v>
      </c>
    </row>
    <row r="10" spans="1:23" x14ac:dyDescent="0.25">
      <c r="A10" s="32" t="s">
        <v>20</v>
      </c>
      <c r="B10" s="32" t="s">
        <v>41</v>
      </c>
      <c r="C10" s="108">
        <f>IFERROR(INDEX(Minutes_by_use_case!$C$2:$C$9,MATCH($B10,Minutes_by_use_case!$A$2:$A$9,0)),"-")</f>
        <v>66700.388888888891</v>
      </c>
      <c r="D10" s="108">
        <f>IFERROR(INDEX(Minutes_by_use_case!$C$2:$C$9,MATCH($B10,Minutes_by_use_case!$A$2:$A$9,0)),"-")</f>
        <v>66700.388888888891</v>
      </c>
      <c r="E10" s="108">
        <f>IFERROR(INDEX(Minutes_by_use_case!$C$2:$C$9,MATCH($B10,Minutes_by_use_case!$A$2:$A$9,0)),"-")</f>
        <v>66700.388888888891</v>
      </c>
      <c r="F10" s="108">
        <f>IFERROR(INDEX(Minutes_by_use_case!$C$2:$C$9,MATCH($B10,Minutes_by_use_case!$A$2:$A$9,0)),"-")</f>
        <v>66700.388888888891</v>
      </c>
      <c r="G10" s="108">
        <f>IFERROR(INDEX(Minutes_by_use_case!$C$2:$C$9,MATCH($B10,Minutes_by_use_case!$A$2:$A$9,0)),"-")</f>
        <v>66700.388888888891</v>
      </c>
      <c r="H10" s="108">
        <f>IFERROR(INDEX(Minutes_by_use_case!$C$2:$C$9,MATCH($B10,Minutes_by_use_case!$A$2:$A$9,0)),"-")</f>
        <v>66700.388888888891</v>
      </c>
      <c r="I10" s="108">
        <f>IFERROR(INDEX(Minutes_by_use_case!$C$2:$C$9,MATCH($B10,Minutes_by_use_case!$A$2:$A$9,0)),"-")</f>
        <v>66700.388888888891</v>
      </c>
      <c r="J10" s="108">
        <f>IFERROR(INDEX(Minutes_by_use_case!$C$2:$C$9,MATCH($B10,Minutes_by_use_case!$A$2:$A$9,0)),"-")</f>
        <v>66700.388888888891</v>
      </c>
      <c r="K10" s="108">
        <f>IFERROR(INDEX(Minutes_by_use_case!$C$2:$C$9,MATCH($B10,Minutes_by_use_case!$A$2:$A$9,0)),"-")</f>
        <v>66700.388888888891</v>
      </c>
      <c r="L10" s="108">
        <f>IFERROR(INDEX(Minutes_by_use_case!$C$2:$C$9,MATCH($B10,Minutes_by_use_case!$A$2:$A$9,0)),"-")</f>
        <v>66700.388888888891</v>
      </c>
      <c r="M10" s="108">
        <f>IFERROR(INDEX(Minutes_by_use_case!$C$2:$C$9,MATCH($B10,Minutes_by_use_case!$A$2:$A$9,0)),"-")</f>
        <v>66700.388888888891</v>
      </c>
      <c r="N10" s="108">
        <f>IFERROR(INDEX(Minutes_by_use_case!$C$2:$C$9,MATCH($B10,Minutes_by_use_case!$A$2:$A$9,0)),"-")</f>
        <v>66700.388888888891</v>
      </c>
      <c r="O10" s="108">
        <f>IFERROR(INDEX(Minutes_by_use_case!$C$2:$C$9,MATCH($B10,Minutes_by_use_case!$A$2:$A$9,0)),"-")</f>
        <v>66700.388888888891</v>
      </c>
      <c r="P10" s="108">
        <f>IFERROR(INDEX(Minutes_by_use_case!$C$2:$C$9,MATCH($B10,Minutes_by_use_case!$A$2:$A$9,0)),"-")</f>
        <v>66700.388888888891</v>
      </c>
      <c r="Q10" s="108">
        <f>IFERROR(INDEX(Minutes_by_use_case!$C$2:$C$9,MATCH($B10,Minutes_by_use_case!$A$2:$A$9,0)),"-")</f>
        <v>66700.388888888891</v>
      </c>
      <c r="R10" s="108">
        <f>IFERROR(INDEX(Minutes_by_use_case!$C$2:$C$9,MATCH($B10,Minutes_by_use_case!$A$2:$A$9,0)),"-")</f>
        <v>66700.388888888891</v>
      </c>
      <c r="S10" s="108">
        <f>IFERROR(INDEX(Minutes_by_use_case!$C$2:$C$9,MATCH($B10,Minutes_by_use_case!$A$2:$A$9,0)),"-")</f>
        <v>66700.388888888891</v>
      </c>
      <c r="T10" s="108">
        <f>IFERROR(INDEX(Minutes_by_use_case!$C$2:$C$9,MATCH($B10,Minutes_by_use_case!$A$2:$A$9,0)),"-")</f>
        <v>66700.388888888891</v>
      </c>
      <c r="U10" s="108">
        <f>IFERROR(INDEX(Minutes_by_use_case!$C$2:$C$9,MATCH($B10,Minutes_by_use_case!$A$2:$A$9,0)),"-")</f>
        <v>66700.388888888891</v>
      </c>
      <c r="V10" s="108">
        <f>IFERROR(INDEX(Minutes_by_use_case!$C$2:$C$9,MATCH($B10,Minutes_by_use_case!$A$2:$A$9,0)),"-")</f>
        <v>66700.388888888891</v>
      </c>
    </row>
    <row r="11" spans="1:23" x14ac:dyDescent="0.25">
      <c r="A11" s="32" t="s">
        <v>21</v>
      </c>
      <c r="B11" s="32" t="s">
        <v>41</v>
      </c>
      <c r="C11" s="108">
        <f>IFERROR(INDEX(Minutes_by_use_case!$C$2:$C$9,MATCH($B11,Minutes_by_use_case!$A$2:$A$9,0)),"-")</f>
        <v>66700.388888888891</v>
      </c>
      <c r="D11" s="108">
        <f>IFERROR(INDEX(Minutes_by_use_case!$C$2:$C$9,MATCH($B11,Minutes_by_use_case!$A$2:$A$9,0)),"-")</f>
        <v>66700.388888888891</v>
      </c>
      <c r="E11" s="108">
        <f>IFERROR(INDEX(Minutes_by_use_case!$C$2:$C$9,MATCH($B11,Minutes_by_use_case!$A$2:$A$9,0)),"-")</f>
        <v>66700.388888888891</v>
      </c>
      <c r="F11" s="108">
        <f>IFERROR(INDEX(Minutes_by_use_case!$C$2:$C$9,MATCH($B11,Minutes_by_use_case!$A$2:$A$9,0)),"-")</f>
        <v>66700.388888888891</v>
      </c>
      <c r="G11" s="108">
        <f>IFERROR(INDEX(Minutes_by_use_case!$C$2:$C$9,MATCH($B11,Minutes_by_use_case!$A$2:$A$9,0)),"-")</f>
        <v>66700.388888888891</v>
      </c>
      <c r="H11" s="108">
        <f>IFERROR(INDEX(Minutes_by_use_case!$C$2:$C$9,MATCH($B11,Minutes_by_use_case!$A$2:$A$9,0)),"-")</f>
        <v>66700.388888888891</v>
      </c>
      <c r="I11" s="108">
        <f>IFERROR(INDEX(Minutes_by_use_case!$C$2:$C$9,MATCH($B11,Minutes_by_use_case!$A$2:$A$9,0)),"-")</f>
        <v>66700.388888888891</v>
      </c>
      <c r="J11" s="108">
        <f>IFERROR(INDEX(Minutes_by_use_case!$C$2:$C$9,MATCH($B11,Minutes_by_use_case!$A$2:$A$9,0)),"-")</f>
        <v>66700.388888888891</v>
      </c>
      <c r="K11" s="108">
        <f>IFERROR(INDEX(Minutes_by_use_case!$C$2:$C$9,MATCH($B11,Minutes_by_use_case!$A$2:$A$9,0)),"-")</f>
        <v>66700.388888888891</v>
      </c>
      <c r="L11" s="108">
        <f>IFERROR(INDEX(Minutes_by_use_case!$C$2:$C$9,MATCH($B11,Minutes_by_use_case!$A$2:$A$9,0)),"-")</f>
        <v>66700.388888888891</v>
      </c>
      <c r="M11" s="108">
        <f>IFERROR(INDEX(Minutes_by_use_case!$C$2:$C$9,MATCH($B11,Minutes_by_use_case!$A$2:$A$9,0)),"-")</f>
        <v>66700.388888888891</v>
      </c>
      <c r="N11" s="108">
        <f>IFERROR(INDEX(Minutes_by_use_case!$C$2:$C$9,MATCH($B11,Minutes_by_use_case!$A$2:$A$9,0)),"-")</f>
        <v>66700.388888888891</v>
      </c>
      <c r="O11" s="108">
        <f>IFERROR(INDEX(Minutes_by_use_case!$C$2:$C$9,MATCH($B11,Minutes_by_use_case!$A$2:$A$9,0)),"-")</f>
        <v>66700.388888888891</v>
      </c>
      <c r="P11" s="108">
        <f>IFERROR(INDEX(Minutes_by_use_case!$C$2:$C$9,MATCH($B11,Minutes_by_use_case!$A$2:$A$9,0)),"-")</f>
        <v>66700.388888888891</v>
      </c>
      <c r="Q11" s="108">
        <f>IFERROR(INDEX(Minutes_by_use_case!$C$2:$C$9,MATCH($B11,Minutes_by_use_case!$A$2:$A$9,0)),"-")</f>
        <v>66700.388888888891</v>
      </c>
      <c r="R11" s="108">
        <f>IFERROR(INDEX(Minutes_by_use_case!$C$2:$C$9,MATCH($B11,Minutes_by_use_case!$A$2:$A$9,0)),"-")</f>
        <v>66700.388888888891</v>
      </c>
      <c r="S11" s="108">
        <f>IFERROR(INDEX(Minutes_by_use_case!$C$2:$C$9,MATCH($B11,Minutes_by_use_case!$A$2:$A$9,0)),"-")</f>
        <v>66700.388888888891</v>
      </c>
      <c r="T11" s="108">
        <f>IFERROR(INDEX(Minutes_by_use_case!$C$2:$C$9,MATCH($B11,Minutes_by_use_case!$A$2:$A$9,0)),"-")</f>
        <v>66700.388888888891</v>
      </c>
      <c r="U11" s="108">
        <f>IFERROR(INDEX(Minutes_by_use_case!$C$2:$C$9,MATCH($B11,Minutes_by_use_case!$A$2:$A$9,0)),"-")</f>
        <v>66700.388888888891</v>
      </c>
      <c r="V11" s="108">
        <f>IFERROR(INDEX(Minutes_by_use_case!$C$2:$C$9,MATCH($B11,Minutes_by_use_case!$A$2:$A$9,0)),"-")</f>
        <v>66700.388888888891</v>
      </c>
    </row>
    <row r="12" spans="1:23" x14ac:dyDescent="0.25">
      <c r="A12" s="32" t="s">
        <v>57</v>
      </c>
      <c r="B12" s="32" t="s">
        <v>41</v>
      </c>
      <c r="C12" s="108">
        <f>IFERROR(INDEX(Minutes_by_use_case!$C$2:$C$9,MATCH($B12,Minutes_by_use_case!$A$2:$A$9,0)),"-")</f>
        <v>66700.388888888891</v>
      </c>
      <c r="D12" s="108">
        <f>IFERROR(INDEX(Minutes_by_use_case!$C$2:$C$9,MATCH($B12,Minutes_by_use_case!$A$2:$A$9,0)),"-")</f>
        <v>66700.388888888891</v>
      </c>
      <c r="E12" s="108">
        <f>IFERROR(INDEX(Minutes_by_use_case!$C$2:$C$9,MATCH($B12,Minutes_by_use_case!$A$2:$A$9,0)),"-")</f>
        <v>66700.388888888891</v>
      </c>
      <c r="F12" s="108">
        <f>IFERROR(INDEX(Minutes_by_use_case!$C$2:$C$9,MATCH($B12,Minutes_by_use_case!$A$2:$A$9,0)),"-")</f>
        <v>66700.388888888891</v>
      </c>
      <c r="G12" s="108">
        <f>IFERROR(INDEX(Minutes_by_use_case!$C$2:$C$9,MATCH($B12,Minutes_by_use_case!$A$2:$A$9,0)),"-")</f>
        <v>66700.388888888891</v>
      </c>
      <c r="H12" s="108">
        <f>IFERROR(INDEX(Minutes_by_use_case!$C$2:$C$9,MATCH($B12,Minutes_by_use_case!$A$2:$A$9,0)),"-")</f>
        <v>66700.388888888891</v>
      </c>
      <c r="I12" s="108">
        <f>IFERROR(INDEX(Minutes_by_use_case!$C$2:$C$9,MATCH($B12,Minutes_by_use_case!$A$2:$A$9,0)),"-")</f>
        <v>66700.388888888891</v>
      </c>
      <c r="J12" s="108">
        <f>IFERROR(INDEX(Minutes_by_use_case!$C$2:$C$9,MATCH($B12,Minutes_by_use_case!$A$2:$A$9,0)),"-")</f>
        <v>66700.388888888891</v>
      </c>
      <c r="K12" s="108">
        <f>IFERROR(INDEX(Minutes_by_use_case!$C$2:$C$9,MATCH($B12,Minutes_by_use_case!$A$2:$A$9,0)),"-")</f>
        <v>66700.388888888891</v>
      </c>
      <c r="L12" s="108">
        <f>IFERROR(INDEX(Minutes_by_use_case!$C$2:$C$9,MATCH($B12,Minutes_by_use_case!$A$2:$A$9,0)),"-")</f>
        <v>66700.388888888891</v>
      </c>
      <c r="M12" s="108">
        <f>IFERROR(INDEX(Minutes_by_use_case!$C$2:$C$9,MATCH($B12,Minutes_by_use_case!$A$2:$A$9,0)),"-")</f>
        <v>66700.388888888891</v>
      </c>
      <c r="N12" s="108">
        <f>IFERROR(INDEX(Minutes_by_use_case!$C$2:$C$9,MATCH($B12,Minutes_by_use_case!$A$2:$A$9,0)),"-")</f>
        <v>66700.388888888891</v>
      </c>
      <c r="O12" s="108">
        <f>IFERROR(INDEX(Minutes_by_use_case!$C$2:$C$9,MATCH($B12,Minutes_by_use_case!$A$2:$A$9,0)),"-")</f>
        <v>66700.388888888891</v>
      </c>
      <c r="P12" s="108">
        <f>IFERROR(INDEX(Minutes_by_use_case!$C$2:$C$9,MATCH($B12,Minutes_by_use_case!$A$2:$A$9,0)),"-")</f>
        <v>66700.388888888891</v>
      </c>
      <c r="Q12" s="108">
        <f>IFERROR(INDEX(Minutes_by_use_case!$C$2:$C$9,MATCH($B12,Minutes_by_use_case!$A$2:$A$9,0)),"-")</f>
        <v>66700.388888888891</v>
      </c>
      <c r="R12" s="108">
        <f>IFERROR(INDEX(Minutes_by_use_case!$C$2:$C$9,MATCH($B12,Minutes_by_use_case!$A$2:$A$9,0)),"-")</f>
        <v>66700.388888888891</v>
      </c>
      <c r="S12" s="108">
        <f>IFERROR(INDEX(Minutes_by_use_case!$C$2:$C$9,MATCH($B12,Minutes_by_use_case!$A$2:$A$9,0)),"-")</f>
        <v>66700.388888888891</v>
      </c>
      <c r="T12" s="108">
        <f>IFERROR(INDEX(Minutes_by_use_case!$C$2:$C$9,MATCH($B12,Minutes_by_use_case!$A$2:$A$9,0)),"-")</f>
        <v>66700.388888888891</v>
      </c>
      <c r="U12" s="108">
        <f>IFERROR(INDEX(Minutes_by_use_case!$C$2:$C$9,MATCH($B12,Minutes_by_use_case!$A$2:$A$9,0)),"-")</f>
        <v>66700.388888888891</v>
      </c>
      <c r="V12" s="108">
        <f>IFERROR(INDEX(Minutes_by_use_case!$C$2:$C$9,MATCH($B12,Minutes_by_use_case!$A$2:$A$9,0)),"-")</f>
        <v>66700.388888888891</v>
      </c>
    </row>
    <row r="13" spans="1:23" x14ac:dyDescent="0.25">
      <c r="A13" s="32" t="s">
        <v>22</v>
      </c>
      <c r="B13" s="32" t="s">
        <v>41</v>
      </c>
      <c r="C13" s="108">
        <f>IFERROR(INDEX(Minutes_by_use_case!$C$2:$C$9,MATCH($B13,Minutes_by_use_case!$A$2:$A$9,0)),"-")</f>
        <v>66700.388888888891</v>
      </c>
      <c r="D13" s="108">
        <f>IFERROR(INDEX(Minutes_by_use_case!$C$2:$C$9,MATCH($B13,Minutes_by_use_case!$A$2:$A$9,0)),"-")</f>
        <v>66700.388888888891</v>
      </c>
      <c r="E13" s="108">
        <f>IFERROR(INDEX(Minutes_by_use_case!$C$2:$C$9,MATCH($B13,Minutes_by_use_case!$A$2:$A$9,0)),"-")</f>
        <v>66700.388888888891</v>
      </c>
      <c r="F13" s="108">
        <f>IFERROR(INDEX(Minutes_by_use_case!$C$2:$C$9,MATCH($B13,Minutes_by_use_case!$A$2:$A$9,0)),"-")</f>
        <v>66700.388888888891</v>
      </c>
      <c r="G13" s="108">
        <f>IFERROR(INDEX(Minutes_by_use_case!$C$2:$C$9,MATCH($B13,Minutes_by_use_case!$A$2:$A$9,0)),"-")</f>
        <v>66700.388888888891</v>
      </c>
      <c r="H13" s="108">
        <f>IFERROR(INDEX(Minutes_by_use_case!$C$2:$C$9,MATCH($B13,Minutes_by_use_case!$A$2:$A$9,0)),"-")</f>
        <v>66700.388888888891</v>
      </c>
      <c r="I13" s="108">
        <f>IFERROR(INDEX(Minutes_by_use_case!$C$2:$C$9,MATCH($B13,Minutes_by_use_case!$A$2:$A$9,0)),"-")</f>
        <v>66700.388888888891</v>
      </c>
      <c r="J13" s="108">
        <f>IFERROR(INDEX(Minutes_by_use_case!$C$2:$C$9,MATCH($B13,Minutes_by_use_case!$A$2:$A$9,0)),"-")</f>
        <v>66700.388888888891</v>
      </c>
      <c r="K13" s="108">
        <f>IFERROR(INDEX(Minutes_by_use_case!$C$2:$C$9,MATCH($B13,Minutes_by_use_case!$A$2:$A$9,0)),"-")</f>
        <v>66700.388888888891</v>
      </c>
      <c r="L13" s="108">
        <f>IFERROR(INDEX(Minutes_by_use_case!$C$2:$C$9,MATCH($B13,Minutes_by_use_case!$A$2:$A$9,0)),"-")</f>
        <v>66700.388888888891</v>
      </c>
      <c r="M13" s="108">
        <f>IFERROR(INDEX(Minutes_by_use_case!$C$2:$C$9,MATCH($B13,Minutes_by_use_case!$A$2:$A$9,0)),"-")</f>
        <v>66700.388888888891</v>
      </c>
      <c r="N13" s="108">
        <f>IFERROR(INDEX(Minutes_by_use_case!$C$2:$C$9,MATCH($B13,Minutes_by_use_case!$A$2:$A$9,0)),"-")</f>
        <v>66700.388888888891</v>
      </c>
      <c r="O13" s="108">
        <f>IFERROR(INDEX(Minutes_by_use_case!$C$2:$C$9,MATCH($B13,Minutes_by_use_case!$A$2:$A$9,0)),"-")</f>
        <v>66700.388888888891</v>
      </c>
      <c r="P13" s="108">
        <f>IFERROR(INDEX(Minutes_by_use_case!$C$2:$C$9,MATCH($B13,Minutes_by_use_case!$A$2:$A$9,0)),"-")</f>
        <v>66700.388888888891</v>
      </c>
      <c r="Q13" s="108">
        <f>IFERROR(INDEX(Minutes_by_use_case!$C$2:$C$9,MATCH($B13,Minutes_by_use_case!$A$2:$A$9,0)),"-")</f>
        <v>66700.388888888891</v>
      </c>
      <c r="R13" s="108">
        <f>IFERROR(INDEX(Minutes_by_use_case!$C$2:$C$9,MATCH($B13,Minutes_by_use_case!$A$2:$A$9,0)),"-")</f>
        <v>66700.388888888891</v>
      </c>
      <c r="S13" s="108">
        <f>IFERROR(INDEX(Minutes_by_use_case!$C$2:$C$9,MATCH($B13,Minutes_by_use_case!$A$2:$A$9,0)),"-")</f>
        <v>66700.388888888891</v>
      </c>
      <c r="T13" s="108">
        <f>IFERROR(INDEX(Minutes_by_use_case!$C$2:$C$9,MATCH($B13,Minutes_by_use_case!$A$2:$A$9,0)),"-")</f>
        <v>66700.388888888891</v>
      </c>
      <c r="U13" s="108">
        <f>IFERROR(INDEX(Minutes_by_use_case!$C$2:$C$9,MATCH($B13,Minutes_by_use_case!$A$2:$A$9,0)),"-")</f>
        <v>66700.388888888891</v>
      </c>
      <c r="V13" s="108">
        <f>IFERROR(INDEX(Minutes_by_use_case!$C$2:$C$9,MATCH($B13,Minutes_by_use_case!$A$2:$A$9,0)),"-")</f>
        <v>66700.388888888891</v>
      </c>
    </row>
    <row r="14" spans="1:23" x14ac:dyDescent="0.25">
      <c r="A14" s="32" t="s">
        <v>23</v>
      </c>
      <c r="B14" s="32" t="s">
        <v>43</v>
      </c>
      <c r="C14" s="108">
        <f>IFERROR(INDEX(Minutes_by_use_case!$C$2:$C$9,MATCH($B14,Minutes_by_use_case!$A$2:$A$9,0)),"-")</f>
        <v>114879</v>
      </c>
      <c r="D14" s="108">
        <f>IFERROR(INDEX(Minutes_by_use_case!$C$2:$C$9,MATCH($B14,Minutes_by_use_case!$A$2:$A$9,0)),"-")</f>
        <v>114879</v>
      </c>
      <c r="E14" s="108">
        <f>IFERROR(INDEX(Minutes_by_use_case!$C$2:$C$9,MATCH($B14,Minutes_by_use_case!$A$2:$A$9,0)),"-")</f>
        <v>114879</v>
      </c>
      <c r="F14" s="108">
        <f>IFERROR(INDEX(Minutes_by_use_case!$C$2:$C$9,MATCH($B14,Minutes_by_use_case!$A$2:$A$9,0)),"-")</f>
        <v>114879</v>
      </c>
      <c r="G14" s="108">
        <f>IFERROR(INDEX(Minutes_by_use_case!$C$2:$C$9,MATCH($B14,Minutes_by_use_case!$A$2:$A$9,0)),"-")</f>
        <v>114879</v>
      </c>
      <c r="H14" s="108">
        <f>IFERROR(INDEX(Minutes_by_use_case!$C$2:$C$9,MATCH($B14,Minutes_by_use_case!$A$2:$A$9,0)),"-")</f>
        <v>114879</v>
      </c>
      <c r="I14" s="108">
        <f>IFERROR(INDEX(Minutes_by_use_case!$C$2:$C$9,MATCH($B14,Minutes_by_use_case!$A$2:$A$9,0)),"-")</f>
        <v>114879</v>
      </c>
      <c r="J14" s="108">
        <f>IFERROR(INDEX(Minutes_by_use_case!$C$2:$C$9,MATCH($B14,Minutes_by_use_case!$A$2:$A$9,0)),"-")</f>
        <v>114879</v>
      </c>
      <c r="K14" s="108">
        <f>IFERROR(INDEX(Minutes_by_use_case!$C$2:$C$9,MATCH($B14,Minutes_by_use_case!$A$2:$A$9,0)),"-")</f>
        <v>114879</v>
      </c>
      <c r="L14" s="108">
        <f>IFERROR(INDEX(Minutes_by_use_case!$C$2:$C$9,MATCH($B14,Minutes_by_use_case!$A$2:$A$9,0)),"-")</f>
        <v>114879</v>
      </c>
      <c r="M14" s="108">
        <f>IFERROR(INDEX(Minutes_by_use_case!$C$2:$C$9,MATCH($B14,Minutes_by_use_case!$A$2:$A$9,0)),"-")</f>
        <v>114879</v>
      </c>
      <c r="N14" s="108">
        <f>IFERROR(INDEX(Minutes_by_use_case!$C$2:$C$9,MATCH($B14,Minutes_by_use_case!$A$2:$A$9,0)),"-")</f>
        <v>114879</v>
      </c>
      <c r="O14" s="108">
        <f>IFERROR(INDEX(Minutes_by_use_case!$C$2:$C$9,MATCH($B14,Minutes_by_use_case!$A$2:$A$9,0)),"-")</f>
        <v>114879</v>
      </c>
      <c r="P14" s="108">
        <f>IFERROR(INDEX(Minutes_by_use_case!$C$2:$C$9,MATCH($B14,Minutes_by_use_case!$A$2:$A$9,0)),"-")</f>
        <v>114879</v>
      </c>
      <c r="Q14" s="108">
        <f>IFERROR(INDEX(Minutes_by_use_case!$C$2:$C$9,MATCH($B14,Minutes_by_use_case!$A$2:$A$9,0)),"-")</f>
        <v>114879</v>
      </c>
      <c r="R14" s="108">
        <f>IFERROR(INDEX(Minutes_by_use_case!$C$2:$C$9,MATCH($B14,Minutes_by_use_case!$A$2:$A$9,0)),"-")</f>
        <v>114879</v>
      </c>
      <c r="S14" s="108">
        <f>IFERROR(INDEX(Minutes_by_use_case!$C$2:$C$9,MATCH($B14,Minutes_by_use_case!$A$2:$A$9,0)),"-")</f>
        <v>114879</v>
      </c>
      <c r="T14" s="108">
        <f>IFERROR(INDEX(Minutes_by_use_case!$C$2:$C$9,MATCH($B14,Minutes_by_use_case!$A$2:$A$9,0)),"-")</f>
        <v>114879</v>
      </c>
      <c r="U14" s="108">
        <f>IFERROR(INDEX(Minutes_by_use_case!$C$2:$C$9,MATCH($B14,Minutes_by_use_case!$A$2:$A$9,0)),"-")</f>
        <v>114879</v>
      </c>
      <c r="V14" s="108">
        <f>IFERROR(INDEX(Minutes_by_use_case!$C$2:$C$9,MATCH($B14,Minutes_by_use_case!$A$2:$A$9,0)),"-")</f>
        <v>114879</v>
      </c>
    </row>
    <row r="15" spans="1:23" x14ac:dyDescent="0.25">
      <c r="A15" s="32" t="s">
        <v>24</v>
      </c>
      <c r="B15" s="32" t="s">
        <v>42</v>
      </c>
      <c r="C15" s="108">
        <f>IFERROR(INDEX(Minutes_by_use_case!$C$2:$C$9,MATCH($B15,Minutes_by_use_case!$A$2:$A$9,0)),"-")</f>
        <v>2294</v>
      </c>
      <c r="D15" s="108">
        <f>IFERROR(INDEX(Minutes_by_use_case!$C$2:$C$9,MATCH($B15,Minutes_by_use_case!$A$2:$A$9,0)),"-")</f>
        <v>2294</v>
      </c>
      <c r="E15" s="108">
        <f>IFERROR(INDEX(Minutes_by_use_case!$C$2:$C$9,MATCH($B15,Minutes_by_use_case!$A$2:$A$9,0)),"-")</f>
        <v>2294</v>
      </c>
      <c r="F15" s="108">
        <f>IFERROR(INDEX(Minutes_by_use_case!$C$2:$C$9,MATCH($B15,Minutes_by_use_case!$A$2:$A$9,0)),"-")</f>
        <v>2294</v>
      </c>
      <c r="G15" s="108">
        <f>IFERROR(INDEX(Minutes_by_use_case!$C$2:$C$9,MATCH($B15,Minutes_by_use_case!$A$2:$A$9,0)),"-")</f>
        <v>2294</v>
      </c>
      <c r="H15" s="108">
        <f>IFERROR(INDEX(Minutes_by_use_case!$C$2:$C$9,MATCH($B15,Minutes_by_use_case!$A$2:$A$9,0)),"-")</f>
        <v>2294</v>
      </c>
      <c r="I15" s="108">
        <f>IFERROR(INDEX(Minutes_by_use_case!$C$2:$C$9,MATCH($B15,Minutes_by_use_case!$A$2:$A$9,0)),"-")</f>
        <v>2294</v>
      </c>
      <c r="J15" s="108">
        <f>IFERROR(INDEX(Minutes_by_use_case!$C$2:$C$9,MATCH($B15,Minutes_by_use_case!$A$2:$A$9,0)),"-")</f>
        <v>2294</v>
      </c>
      <c r="K15" s="108">
        <f>IFERROR(INDEX(Minutes_by_use_case!$C$2:$C$9,MATCH($B15,Minutes_by_use_case!$A$2:$A$9,0)),"-")</f>
        <v>2294</v>
      </c>
      <c r="L15" s="108">
        <f>IFERROR(INDEX(Minutes_by_use_case!$C$2:$C$9,MATCH($B15,Minutes_by_use_case!$A$2:$A$9,0)),"-")</f>
        <v>2294</v>
      </c>
      <c r="M15" s="108">
        <f>IFERROR(INDEX(Minutes_by_use_case!$C$2:$C$9,MATCH($B15,Minutes_by_use_case!$A$2:$A$9,0)),"-")</f>
        <v>2294</v>
      </c>
      <c r="N15" s="108">
        <f>IFERROR(INDEX(Minutes_by_use_case!$C$2:$C$9,MATCH($B15,Minutes_by_use_case!$A$2:$A$9,0)),"-")</f>
        <v>2294</v>
      </c>
      <c r="O15" s="108">
        <f>IFERROR(INDEX(Minutes_by_use_case!$C$2:$C$9,MATCH($B15,Minutes_by_use_case!$A$2:$A$9,0)),"-")</f>
        <v>2294</v>
      </c>
      <c r="P15" s="108">
        <f>IFERROR(INDEX(Minutes_by_use_case!$C$2:$C$9,MATCH($B15,Minutes_by_use_case!$A$2:$A$9,0)),"-")</f>
        <v>2294</v>
      </c>
      <c r="Q15" s="108">
        <f>IFERROR(INDEX(Minutes_by_use_case!$C$2:$C$9,MATCH($B15,Minutes_by_use_case!$A$2:$A$9,0)),"-")</f>
        <v>2294</v>
      </c>
      <c r="R15" s="108">
        <f>IFERROR(INDEX(Minutes_by_use_case!$C$2:$C$9,MATCH($B15,Minutes_by_use_case!$A$2:$A$9,0)),"-")</f>
        <v>2294</v>
      </c>
      <c r="S15" s="108">
        <f>IFERROR(INDEX(Minutes_by_use_case!$C$2:$C$9,MATCH($B15,Minutes_by_use_case!$A$2:$A$9,0)),"-")</f>
        <v>2294</v>
      </c>
      <c r="T15" s="108">
        <f>IFERROR(INDEX(Minutes_by_use_case!$C$2:$C$9,MATCH($B15,Minutes_by_use_case!$A$2:$A$9,0)),"-")</f>
        <v>2294</v>
      </c>
      <c r="U15" s="108">
        <f>IFERROR(INDEX(Minutes_by_use_case!$C$2:$C$9,MATCH($B15,Minutes_by_use_case!$A$2:$A$9,0)),"-")</f>
        <v>2294</v>
      </c>
      <c r="V15" s="108">
        <f>IFERROR(INDEX(Minutes_by_use_case!$C$2:$C$9,MATCH($B15,Minutes_by_use_case!$A$2:$A$9,0)),"-")</f>
        <v>2294</v>
      </c>
    </row>
    <row r="16" spans="1:23" x14ac:dyDescent="0.25">
      <c r="A16" s="32" t="s">
        <v>25</v>
      </c>
      <c r="B16" s="32" t="s">
        <v>44</v>
      </c>
      <c r="C16" s="108">
        <f>IFERROR(INDEX(Minutes_by_use_case!$C$2:$C$9,MATCH($B16,Minutes_by_use_case!$A$2:$A$9,0)),"-")</f>
        <v>460.5</v>
      </c>
      <c r="D16" s="108">
        <f>IFERROR(INDEX(Minutes_by_use_case!$C$2:$C$9,MATCH($B16,Minutes_by_use_case!$A$2:$A$9,0)),"-")</f>
        <v>460.5</v>
      </c>
      <c r="E16" s="108">
        <f>IFERROR(INDEX(Minutes_by_use_case!$C$2:$C$9,MATCH($B16,Minutes_by_use_case!$A$2:$A$9,0)),"-")</f>
        <v>460.5</v>
      </c>
      <c r="F16" s="108">
        <f>IFERROR(INDEX(Minutes_by_use_case!$C$2:$C$9,MATCH($B16,Minutes_by_use_case!$A$2:$A$9,0)),"-")</f>
        <v>460.5</v>
      </c>
      <c r="G16" s="108">
        <f>IFERROR(INDEX(Minutes_by_use_case!$C$2:$C$9,MATCH($B16,Minutes_by_use_case!$A$2:$A$9,0)),"-")</f>
        <v>460.5</v>
      </c>
      <c r="H16" s="108">
        <f>IFERROR(INDEX(Minutes_by_use_case!$C$2:$C$9,MATCH($B16,Minutes_by_use_case!$A$2:$A$9,0)),"-")</f>
        <v>460.5</v>
      </c>
      <c r="I16" s="108">
        <f>IFERROR(INDEX(Minutes_by_use_case!$C$2:$C$9,MATCH($B16,Minutes_by_use_case!$A$2:$A$9,0)),"-")</f>
        <v>460.5</v>
      </c>
      <c r="J16" s="108">
        <f>IFERROR(INDEX(Minutes_by_use_case!$C$2:$C$9,MATCH($B16,Minutes_by_use_case!$A$2:$A$9,0)),"-")</f>
        <v>460.5</v>
      </c>
      <c r="K16" s="108">
        <f>IFERROR(INDEX(Minutes_by_use_case!$C$2:$C$9,MATCH($B16,Minutes_by_use_case!$A$2:$A$9,0)),"-")</f>
        <v>460.5</v>
      </c>
      <c r="L16" s="108">
        <f>IFERROR(INDEX(Minutes_by_use_case!$C$2:$C$9,MATCH($B16,Minutes_by_use_case!$A$2:$A$9,0)),"-")</f>
        <v>460.5</v>
      </c>
      <c r="M16" s="108">
        <f>IFERROR(INDEX(Minutes_by_use_case!$C$2:$C$9,MATCH($B16,Minutes_by_use_case!$A$2:$A$9,0)),"-")</f>
        <v>460.5</v>
      </c>
      <c r="N16" s="108">
        <f>IFERROR(INDEX(Minutes_by_use_case!$C$2:$C$9,MATCH($B16,Minutes_by_use_case!$A$2:$A$9,0)),"-")</f>
        <v>460.5</v>
      </c>
      <c r="O16" s="108">
        <f>IFERROR(INDEX(Minutes_by_use_case!$C$2:$C$9,MATCH($B16,Minutes_by_use_case!$A$2:$A$9,0)),"-")</f>
        <v>460.5</v>
      </c>
      <c r="P16" s="108">
        <f>IFERROR(INDEX(Minutes_by_use_case!$C$2:$C$9,MATCH($B16,Minutes_by_use_case!$A$2:$A$9,0)),"-")</f>
        <v>460.5</v>
      </c>
      <c r="Q16" s="108">
        <f>IFERROR(INDEX(Minutes_by_use_case!$C$2:$C$9,MATCH($B16,Minutes_by_use_case!$A$2:$A$9,0)),"-")</f>
        <v>460.5</v>
      </c>
      <c r="R16" s="108">
        <f>IFERROR(INDEX(Minutes_by_use_case!$C$2:$C$9,MATCH($B16,Minutes_by_use_case!$A$2:$A$9,0)),"-")</f>
        <v>460.5</v>
      </c>
      <c r="S16" s="108">
        <f>IFERROR(INDEX(Minutes_by_use_case!$C$2:$C$9,MATCH($B16,Minutes_by_use_case!$A$2:$A$9,0)),"-")</f>
        <v>460.5</v>
      </c>
      <c r="T16" s="108">
        <f>IFERROR(INDEX(Minutes_by_use_case!$C$2:$C$9,MATCH($B16,Minutes_by_use_case!$A$2:$A$9,0)),"-")</f>
        <v>460.5</v>
      </c>
      <c r="U16" s="108">
        <f>IFERROR(INDEX(Minutes_by_use_case!$C$2:$C$9,MATCH($B16,Minutes_by_use_case!$A$2:$A$9,0)),"-")</f>
        <v>460.5</v>
      </c>
      <c r="V16" s="108">
        <f>IFERROR(INDEX(Minutes_by_use_case!$C$2:$C$9,MATCH($B16,Minutes_by_use_case!$A$2:$A$9,0)),"-")</f>
        <v>460.5</v>
      </c>
    </row>
    <row r="17" spans="1:22" x14ac:dyDescent="0.25">
      <c r="A17" s="32" t="s">
        <v>58</v>
      </c>
      <c r="B17" s="32" t="s">
        <v>41</v>
      </c>
      <c r="C17" s="108">
        <f>IFERROR(INDEX(Minutes_by_use_case!$C$2:$C$9,MATCH($B17,Minutes_by_use_case!$A$2:$A$9,0)),"-")</f>
        <v>66700.388888888891</v>
      </c>
      <c r="D17" s="108">
        <f>IFERROR(INDEX(Minutes_by_use_case!$C$2:$C$9,MATCH($B17,Minutes_by_use_case!$A$2:$A$9,0)),"-")</f>
        <v>66700.388888888891</v>
      </c>
      <c r="E17" s="108">
        <f>IFERROR(INDEX(Minutes_by_use_case!$C$2:$C$9,MATCH($B17,Minutes_by_use_case!$A$2:$A$9,0)),"-")</f>
        <v>66700.388888888891</v>
      </c>
      <c r="F17" s="108">
        <f>IFERROR(INDEX(Minutes_by_use_case!$C$2:$C$9,MATCH($B17,Minutes_by_use_case!$A$2:$A$9,0)),"-")</f>
        <v>66700.388888888891</v>
      </c>
      <c r="G17" s="108">
        <f>IFERROR(INDEX(Minutes_by_use_case!$C$2:$C$9,MATCH($B17,Minutes_by_use_case!$A$2:$A$9,0)),"-")</f>
        <v>66700.388888888891</v>
      </c>
      <c r="H17" s="108">
        <f>IFERROR(INDEX(Minutes_by_use_case!$C$2:$C$9,MATCH($B17,Minutes_by_use_case!$A$2:$A$9,0)),"-")</f>
        <v>66700.388888888891</v>
      </c>
      <c r="I17" s="108">
        <f>IFERROR(INDEX(Minutes_by_use_case!$C$2:$C$9,MATCH($B17,Minutes_by_use_case!$A$2:$A$9,0)),"-")</f>
        <v>66700.388888888891</v>
      </c>
      <c r="J17" s="108">
        <f>IFERROR(INDEX(Minutes_by_use_case!$C$2:$C$9,MATCH($B17,Minutes_by_use_case!$A$2:$A$9,0)),"-")</f>
        <v>66700.388888888891</v>
      </c>
      <c r="K17" s="108">
        <f>IFERROR(INDEX(Minutes_by_use_case!$C$2:$C$9,MATCH($B17,Minutes_by_use_case!$A$2:$A$9,0)),"-")</f>
        <v>66700.388888888891</v>
      </c>
      <c r="L17" s="108">
        <f>IFERROR(INDEX(Minutes_by_use_case!$C$2:$C$9,MATCH($B17,Minutes_by_use_case!$A$2:$A$9,0)),"-")</f>
        <v>66700.388888888891</v>
      </c>
      <c r="M17" s="108">
        <f>IFERROR(INDEX(Minutes_by_use_case!$C$2:$C$9,MATCH($B17,Minutes_by_use_case!$A$2:$A$9,0)),"-")</f>
        <v>66700.388888888891</v>
      </c>
      <c r="N17" s="108">
        <f>IFERROR(INDEX(Minutes_by_use_case!$C$2:$C$9,MATCH($B17,Minutes_by_use_case!$A$2:$A$9,0)),"-")</f>
        <v>66700.388888888891</v>
      </c>
      <c r="O17" s="108">
        <f>IFERROR(INDEX(Minutes_by_use_case!$C$2:$C$9,MATCH($B17,Minutes_by_use_case!$A$2:$A$9,0)),"-")</f>
        <v>66700.388888888891</v>
      </c>
      <c r="P17" s="108">
        <f>IFERROR(INDEX(Minutes_by_use_case!$C$2:$C$9,MATCH($B17,Minutes_by_use_case!$A$2:$A$9,0)),"-")</f>
        <v>66700.388888888891</v>
      </c>
      <c r="Q17" s="108">
        <f>IFERROR(INDEX(Minutes_by_use_case!$C$2:$C$9,MATCH($B17,Minutes_by_use_case!$A$2:$A$9,0)),"-")</f>
        <v>66700.388888888891</v>
      </c>
      <c r="R17" s="108">
        <f>IFERROR(INDEX(Minutes_by_use_case!$C$2:$C$9,MATCH($B17,Minutes_by_use_case!$A$2:$A$9,0)),"-")</f>
        <v>66700.388888888891</v>
      </c>
      <c r="S17" s="108">
        <f>IFERROR(INDEX(Minutes_by_use_case!$C$2:$C$9,MATCH($B17,Minutes_by_use_case!$A$2:$A$9,0)),"-")</f>
        <v>66700.388888888891</v>
      </c>
      <c r="T17" s="108">
        <f>IFERROR(INDEX(Minutes_by_use_case!$C$2:$C$9,MATCH($B17,Minutes_by_use_case!$A$2:$A$9,0)),"-")</f>
        <v>66700.388888888891</v>
      </c>
      <c r="U17" s="108">
        <f>IFERROR(INDEX(Minutes_by_use_case!$C$2:$C$9,MATCH($B17,Minutes_by_use_case!$A$2:$A$9,0)),"-")</f>
        <v>66700.388888888891</v>
      </c>
      <c r="V17" s="108">
        <f>IFERROR(INDEX(Minutes_by_use_case!$C$2:$C$9,MATCH($B17,Minutes_by_use_case!$A$2:$A$9,0)),"-")</f>
        <v>66700.388888888891</v>
      </c>
    </row>
    <row r="18" spans="1:22" x14ac:dyDescent="0.25">
      <c r="A18" s="32" t="s">
        <v>59</v>
      </c>
      <c r="B18" s="32" t="s">
        <v>41</v>
      </c>
      <c r="C18" s="108">
        <f>IFERROR(INDEX(Minutes_by_use_case!$C$2:$C$9,MATCH($B18,Minutes_by_use_case!$A$2:$A$9,0)),"-")</f>
        <v>66700.388888888891</v>
      </c>
      <c r="D18" s="108">
        <f>IFERROR(INDEX(Minutes_by_use_case!$C$2:$C$9,MATCH($B18,Minutes_by_use_case!$A$2:$A$9,0)),"-")</f>
        <v>66700.388888888891</v>
      </c>
      <c r="E18" s="108">
        <f>IFERROR(INDEX(Minutes_by_use_case!$C$2:$C$9,MATCH($B18,Minutes_by_use_case!$A$2:$A$9,0)),"-")</f>
        <v>66700.388888888891</v>
      </c>
      <c r="F18" s="108">
        <f>IFERROR(INDEX(Minutes_by_use_case!$C$2:$C$9,MATCH($B18,Minutes_by_use_case!$A$2:$A$9,0)),"-")</f>
        <v>66700.388888888891</v>
      </c>
      <c r="G18" s="108">
        <f>IFERROR(INDEX(Minutes_by_use_case!$C$2:$C$9,MATCH($B18,Minutes_by_use_case!$A$2:$A$9,0)),"-")</f>
        <v>66700.388888888891</v>
      </c>
      <c r="H18" s="108">
        <f>IFERROR(INDEX(Minutes_by_use_case!$C$2:$C$9,MATCH($B18,Minutes_by_use_case!$A$2:$A$9,0)),"-")</f>
        <v>66700.388888888891</v>
      </c>
      <c r="I18" s="108">
        <f>IFERROR(INDEX(Minutes_by_use_case!$C$2:$C$9,MATCH($B18,Minutes_by_use_case!$A$2:$A$9,0)),"-")</f>
        <v>66700.388888888891</v>
      </c>
      <c r="J18" s="108">
        <f>IFERROR(INDEX(Minutes_by_use_case!$C$2:$C$9,MATCH($B18,Minutes_by_use_case!$A$2:$A$9,0)),"-")</f>
        <v>66700.388888888891</v>
      </c>
      <c r="K18" s="108">
        <f>IFERROR(INDEX(Minutes_by_use_case!$C$2:$C$9,MATCH($B18,Minutes_by_use_case!$A$2:$A$9,0)),"-")</f>
        <v>66700.388888888891</v>
      </c>
      <c r="L18" s="108">
        <f>IFERROR(INDEX(Minutes_by_use_case!$C$2:$C$9,MATCH($B18,Minutes_by_use_case!$A$2:$A$9,0)),"-")</f>
        <v>66700.388888888891</v>
      </c>
      <c r="M18" s="108">
        <f>IFERROR(INDEX(Minutes_by_use_case!$C$2:$C$9,MATCH($B18,Minutes_by_use_case!$A$2:$A$9,0)),"-")</f>
        <v>66700.388888888891</v>
      </c>
      <c r="N18" s="108">
        <f>IFERROR(INDEX(Minutes_by_use_case!$C$2:$C$9,MATCH($B18,Minutes_by_use_case!$A$2:$A$9,0)),"-")</f>
        <v>66700.388888888891</v>
      </c>
      <c r="O18" s="108">
        <f>IFERROR(INDEX(Minutes_by_use_case!$C$2:$C$9,MATCH($B18,Minutes_by_use_case!$A$2:$A$9,0)),"-")</f>
        <v>66700.388888888891</v>
      </c>
      <c r="P18" s="108">
        <f>IFERROR(INDEX(Minutes_by_use_case!$C$2:$C$9,MATCH($B18,Minutes_by_use_case!$A$2:$A$9,0)),"-")</f>
        <v>66700.388888888891</v>
      </c>
      <c r="Q18" s="108">
        <f>IFERROR(INDEX(Minutes_by_use_case!$C$2:$C$9,MATCH($B18,Minutes_by_use_case!$A$2:$A$9,0)),"-")</f>
        <v>66700.388888888891</v>
      </c>
      <c r="R18" s="108">
        <f>IFERROR(INDEX(Minutes_by_use_case!$C$2:$C$9,MATCH($B18,Minutes_by_use_case!$A$2:$A$9,0)),"-")</f>
        <v>66700.388888888891</v>
      </c>
      <c r="S18" s="108">
        <f>IFERROR(INDEX(Minutes_by_use_case!$C$2:$C$9,MATCH($B18,Minutes_by_use_case!$A$2:$A$9,0)),"-")</f>
        <v>66700.388888888891</v>
      </c>
      <c r="T18" s="108">
        <f>IFERROR(INDEX(Minutes_by_use_case!$C$2:$C$9,MATCH($B18,Minutes_by_use_case!$A$2:$A$9,0)),"-")</f>
        <v>66700.388888888891</v>
      </c>
      <c r="U18" s="108">
        <f>IFERROR(INDEX(Minutes_by_use_case!$C$2:$C$9,MATCH($B18,Minutes_by_use_case!$A$2:$A$9,0)),"-")</f>
        <v>66700.388888888891</v>
      </c>
      <c r="V18" s="108">
        <f>IFERROR(INDEX(Minutes_by_use_case!$C$2:$C$9,MATCH($B18,Minutes_by_use_case!$A$2:$A$9,0)),"-")</f>
        <v>66700.388888888891</v>
      </c>
    </row>
    <row r="19" spans="1:22" x14ac:dyDescent="0.25">
      <c r="A19" s="32" t="s">
        <v>60</v>
      </c>
      <c r="B19" s="32" t="s">
        <v>41</v>
      </c>
      <c r="C19" s="108">
        <f>IFERROR(INDEX(Minutes_by_use_case!$C$2:$C$9,MATCH($B19,Minutes_by_use_case!$A$2:$A$9,0)),"-")</f>
        <v>66700.388888888891</v>
      </c>
      <c r="D19" s="108">
        <f>IFERROR(INDEX(Minutes_by_use_case!$C$2:$C$9,MATCH($B19,Minutes_by_use_case!$A$2:$A$9,0)),"-")</f>
        <v>66700.388888888891</v>
      </c>
      <c r="E19" s="108">
        <f>IFERROR(INDEX(Minutes_by_use_case!$C$2:$C$9,MATCH($B19,Minutes_by_use_case!$A$2:$A$9,0)),"-")</f>
        <v>66700.388888888891</v>
      </c>
      <c r="F19" s="108">
        <f>IFERROR(INDEX(Minutes_by_use_case!$C$2:$C$9,MATCH($B19,Minutes_by_use_case!$A$2:$A$9,0)),"-")</f>
        <v>66700.388888888891</v>
      </c>
      <c r="G19" s="108">
        <f>IFERROR(INDEX(Minutes_by_use_case!$C$2:$C$9,MATCH($B19,Minutes_by_use_case!$A$2:$A$9,0)),"-")</f>
        <v>66700.388888888891</v>
      </c>
      <c r="H19" s="108">
        <f>IFERROR(INDEX(Minutes_by_use_case!$C$2:$C$9,MATCH($B19,Minutes_by_use_case!$A$2:$A$9,0)),"-")</f>
        <v>66700.388888888891</v>
      </c>
      <c r="I19" s="108">
        <f>IFERROR(INDEX(Minutes_by_use_case!$C$2:$C$9,MATCH($B19,Minutes_by_use_case!$A$2:$A$9,0)),"-")</f>
        <v>66700.388888888891</v>
      </c>
      <c r="J19" s="108">
        <f>IFERROR(INDEX(Minutes_by_use_case!$C$2:$C$9,MATCH($B19,Minutes_by_use_case!$A$2:$A$9,0)),"-")</f>
        <v>66700.388888888891</v>
      </c>
      <c r="K19" s="108">
        <f>IFERROR(INDEX(Minutes_by_use_case!$C$2:$C$9,MATCH($B19,Minutes_by_use_case!$A$2:$A$9,0)),"-")</f>
        <v>66700.388888888891</v>
      </c>
      <c r="L19" s="108">
        <f>IFERROR(INDEX(Minutes_by_use_case!$C$2:$C$9,MATCH($B19,Minutes_by_use_case!$A$2:$A$9,0)),"-")</f>
        <v>66700.388888888891</v>
      </c>
      <c r="M19" s="108">
        <f>IFERROR(INDEX(Minutes_by_use_case!$C$2:$C$9,MATCH($B19,Minutes_by_use_case!$A$2:$A$9,0)),"-")</f>
        <v>66700.388888888891</v>
      </c>
      <c r="N19" s="108">
        <f>IFERROR(INDEX(Minutes_by_use_case!$C$2:$C$9,MATCH($B19,Minutes_by_use_case!$A$2:$A$9,0)),"-")</f>
        <v>66700.388888888891</v>
      </c>
      <c r="O19" s="108">
        <f>IFERROR(INDEX(Minutes_by_use_case!$C$2:$C$9,MATCH($B19,Minutes_by_use_case!$A$2:$A$9,0)),"-")</f>
        <v>66700.388888888891</v>
      </c>
      <c r="P19" s="108">
        <f>IFERROR(INDEX(Minutes_by_use_case!$C$2:$C$9,MATCH($B19,Minutes_by_use_case!$A$2:$A$9,0)),"-")</f>
        <v>66700.388888888891</v>
      </c>
      <c r="Q19" s="108">
        <f>IFERROR(INDEX(Minutes_by_use_case!$C$2:$C$9,MATCH($B19,Minutes_by_use_case!$A$2:$A$9,0)),"-")</f>
        <v>66700.388888888891</v>
      </c>
      <c r="R19" s="108">
        <f>IFERROR(INDEX(Minutes_by_use_case!$C$2:$C$9,MATCH($B19,Minutes_by_use_case!$A$2:$A$9,0)),"-")</f>
        <v>66700.388888888891</v>
      </c>
      <c r="S19" s="108">
        <f>IFERROR(INDEX(Minutes_by_use_case!$C$2:$C$9,MATCH($B19,Minutes_by_use_case!$A$2:$A$9,0)),"-")</f>
        <v>66700.388888888891</v>
      </c>
      <c r="T19" s="108">
        <f>IFERROR(INDEX(Minutes_by_use_case!$C$2:$C$9,MATCH($B19,Minutes_by_use_case!$A$2:$A$9,0)),"-")</f>
        <v>66700.388888888891</v>
      </c>
      <c r="U19" s="108">
        <f>IFERROR(INDEX(Minutes_by_use_case!$C$2:$C$9,MATCH($B19,Minutes_by_use_case!$A$2:$A$9,0)),"-")</f>
        <v>66700.388888888891</v>
      </c>
      <c r="V19" s="108">
        <f>IFERROR(INDEX(Minutes_by_use_case!$C$2:$C$9,MATCH($B19,Minutes_by_use_case!$A$2:$A$9,0)),"-")</f>
        <v>66700.388888888891</v>
      </c>
    </row>
    <row r="20" spans="1:22" x14ac:dyDescent="0.25">
      <c r="A20" s="32" t="s">
        <v>26</v>
      </c>
      <c r="B20" s="32" t="s">
        <v>45</v>
      </c>
      <c r="C20" s="108">
        <f>IFERROR(INDEX(Minutes_by_use_case!$C$2:$C$9,MATCH($B20,Minutes_by_use_case!$A$2:$A$9,0)),"-")</f>
        <v>33739.333333333336</v>
      </c>
      <c r="D20" s="108">
        <f>IFERROR(INDEX(Minutes_by_use_case!$C$2:$C$9,MATCH($B20,Minutes_by_use_case!$A$2:$A$9,0)),"-")</f>
        <v>33739.333333333336</v>
      </c>
      <c r="E20" s="108">
        <f>IFERROR(INDEX(Minutes_by_use_case!$C$2:$C$9,MATCH($B20,Minutes_by_use_case!$A$2:$A$9,0)),"-")</f>
        <v>33739.333333333336</v>
      </c>
      <c r="F20" s="108">
        <f>IFERROR(INDEX(Minutes_by_use_case!$C$2:$C$9,MATCH($B20,Minutes_by_use_case!$A$2:$A$9,0)),"-")</f>
        <v>33739.333333333336</v>
      </c>
      <c r="G20" s="108">
        <f>IFERROR(INDEX(Minutes_by_use_case!$C$2:$C$9,MATCH($B20,Minutes_by_use_case!$A$2:$A$9,0)),"-")</f>
        <v>33739.333333333336</v>
      </c>
      <c r="H20" s="108">
        <f>IFERROR(INDEX(Minutes_by_use_case!$C$2:$C$9,MATCH($B20,Minutes_by_use_case!$A$2:$A$9,0)),"-")</f>
        <v>33739.333333333336</v>
      </c>
      <c r="I20" s="108">
        <f>IFERROR(INDEX(Minutes_by_use_case!$C$2:$C$9,MATCH($B20,Minutes_by_use_case!$A$2:$A$9,0)),"-")</f>
        <v>33739.333333333336</v>
      </c>
      <c r="J20" s="108">
        <f>IFERROR(INDEX(Minutes_by_use_case!$C$2:$C$9,MATCH($B20,Minutes_by_use_case!$A$2:$A$9,0)),"-")</f>
        <v>33739.333333333336</v>
      </c>
      <c r="K20" s="108">
        <f>IFERROR(INDEX(Minutes_by_use_case!$C$2:$C$9,MATCH($B20,Minutes_by_use_case!$A$2:$A$9,0)),"-")</f>
        <v>33739.333333333336</v>
      </c>
      <c r="L20" s="108">
        <f>IFERROR(INDEX(Minutes_by_use_case!$C$2:$C$9,MATCH($B20,Minutes_by_use_case!$A$2:$A$9,0)),"-")</f>
        <v>33739.333333333336</v>
      </c>
      <c r="M20" s="108">
        <f>IFERROR(INDEX(Minutes_by_use_case!$C$2:$C$9,MATCH($B20,Minutes_by_use_case!$A$2:$A$9,0)),"-")</f>
        <v>33739.333333333336</v>
      </c>
      <c r="N20" s="108">
        <f>IFERROR(INDEX(Minutes_by_use_case!$C$2:$C$9,MATCH($B20,Minutes_by_use_case!$A$2:$A$9,0)),"-")</f>
        <v>33739.333333333336</v>
      </c>
      <c r="O20" s="108">
        <f>IFERROR(INDEX(Minutes_by_use_case!$C$2:$C$9,MATCH($B20,Minutes_by_use_case!$A$2:$A$9,0)),"-")</f>
        <v>33739.333333333336</v>
      </c>
      <c r="P20" s="108">
        <f>IFERROR(INDEX(Minutes_by_use_case!$C$2:$C$9,MATCH($B20,Minutes_by_use_case!$A$2:$A$9,0)),"-")</f>
        <v>33739.333333333336</v>
      </c>
      <c r="Q20" s="108">
        <f>IFERROR(INDEX(Minutes_by_use_case!$C$2:$C$9,MATCH($B20,Minutes_by_use_case!$A$2:$A$9,0)),"-")</f>
        <v>33739.333333333336</v>
      </c>
      <c r="R20" s="108">
        <f>IFERROR(INDEX(Minutes_by_use_case!$C$2:$C$9,MATCH($B20,Minutes_by_use_case!$A$2:$A$9,0)),"-")</f>
        <v>33739.333333333336</v>
      </c>
      <c r="S20" s="108">
        <f>IFERROR(INDEX(Minutes_by_use_case!$C$2:$C$9,MATCH($B20,Minutes_by_use_case!$A$2:$A$9,0)),"-")</f>
        <v>33739.333333333336</v>
      </c>
      <c r="T20" s="108">
        <f>IFERROR(INDEX(Minutes_by_use_case!$C$2:$C$9,MATCH($B20,Minutes_by_use_case!$A$2:$A$9,0)),"-")</f>
        <v>33739.333333333336</v>
      </c>
      <c r="U20" s="108">
        <f>IFERROR(INDEX(Minutes_by_use_case!$C$2:$C$9,MATCH($B20,Minutes_by_use_case!$A$2:$A$9,0)),"-")</f>
        <v>33739.333333333336</v>
      </c>
      <c r="V20" s="108">
        <f>IFERROR(INDEX(Minutes_by_use_case!$C$2:$C$9,MATCH($B20,Minutes_by_use_case!$A$2:$A$9,0)),"-")</f>
        <v>33739.333333333336</v>
      </c>
    </row>
    <row r="21" spans="1:22" x14ac:dyDescent="0.25">
      <c r="A21" s="32" t="s">
        <v>61</v>
      </c>
      <c r="B21" s="32" t="s">
        <v>42</v>
      </c>
      <c r="C21" s="108">
        <f>IFERROR(INDEX(Minutes_by_use_case!$C$2:$C$9,MATCH($B21,Minutes_by_use_case!$A$2:$A$9,0)),"-")</f>
        <v>2294</v>
      </c>
      <c r="D21" s="108">
        <f>IFERROR(INDEX(Minutes_by_use_case!$C$2:$C$9,MATCH($B21,Minutes_by_use_case!$A$2:$A$9,0)),"-")</f>
        <v>2294</v>
      </c>
      <c r="E21" s="108">
        <f>IFERROR(INDEX(Minutes_by_use_case!$C$2:$C$9,MATCH($B21,Minutes_by_use_case!$A$2:$A$9,0)),"-")</f>
        <v>2294</v>
      </c>
      <c r="F21" s="108">
        <f>IFERROR(INDEX(Minutes_by_use_case!$C$2:$C$9,MATCH($B21,Minutes_by_use_case!$A$2:$A$9,0)),"-")</f>
        <v>2294</v>
      </c>
      <c r="G21" s="108">
        <f>IFERROR(INDEX(Minutes_by_use_case!$C$2:$C$9,MATCH($B21,Minutes_by_use_case!$A$2:$A$9,0)),"-")</f>
        <v>2294</v>
      </c>
      <c r="H21" s="108">
        <f>IFERROR(INDEX(Minutes_by_use_case!$C$2:$C$9,MATCH($B21,Minutes_by_use_case!$A$2:$A$9,0)),"-")</f>
        <v>2294</v>
      </c>
      <c r="I21" s="108">
        <f>IFERROR(INDEX(Minutes_by_use_case!$C$2:$C$9,MATCH($B21,Minutes_by_use_case!$A$2:$A$9,0)),"-")</f>
        <v>2294</v>
      </c>
      <c r="J21" s="108">
        <f>IFERROR(INDEX(Minutes_by_use_case!$C$2:$C$9,MATCH($B21,Minutes_by_use_case!$A$2:$A$9,0)),"-")</f>
        <v>2294</v>
      </c>
      <c r="K21" s="108">
        <f>IFERROR(INDEX(Minutes_by_use_case!$C$2:$C$9,MATCH($B21,Minutes_by_use_case!$A$2:$A$9,0)),"-")</f>
        <v>2294</v>
      </c>
      <c r="L21" s="108">
        <f>IFERROR(INDEX(Minutes_by_use_case!$C$2:$C$9,MATCH($B21,Minutes_by_use_case!$A$2:$A$9,0)),"-")</f>
        <v>2294</v>
      </c>
      <c r="M21" s="108">
        <f>IFERROR(INDEX(Minutes_by_use_case!$C$2:$C$9,MATCH($B21,Minutes_by_use_case!$A$2:$A$9,0)),"-")</f>
        <v>2294</v>
      </c>
      <c r="N21" s="108">
        <f>IFERROR(INDEX(Minutes_by_use_case!$C$2:$C$9,MATCH($B21,Minutes_by_use_case!$A$2:$A$9,0)),"-")</f>
        <v>2294</v>
      </c>
      <c r="O21" s="108">
        <f>IFERROR(INDEX(Minutes_by_use_case!$C$2:$C$9,MATCH($B21,Minutes_by_use_case!$A$2:$A$9,0)),"-")</f>
        <v>2294</v>
      </c>
      <c r="P21" s="108">
        <f>IFERROR(INDEX(Minutes_by_use_case!$C$2:$C$9,MATCH($B21,Minutes_by_use_case!$A$2:$A$9,0)),"-")</f>
        <v>2294</v>
      </c>
      <c r="Q21" s="108">
        <f>IFERROR(INDEX(Minutes_by_use_case!$C$2:$C$9,MATCH($B21,Minutes_by_use_case!$A$2:$A$9,0)),"-")</f>
        <v>2294</v>
      </c>
      <c r="R21" s="108">
        <f>IFERROR(INDEX(Minutes_by_use_case!$C$2:$C$9,MATCH($B21,Minutes_by_use_case!$A$2:$A$9,0)),"-")</f>
        <v>2294</v>
      </c>
      <c r="S21" s="108">
        <f>IFERROR(INDEX(Minutes_by_use_case!$C$2:$C$9,MATCH($B21,Minutes_by_use_case!$A$2:$A$9,0)),"-")</f>
        <v>2294</v>
      </c>
      <c r="T21" s="108">
        <f>IFERROR(INDEX(Minutes_by_use_case!$C$2:$C$9,MATCH($B21,Minutes_by_use_case!$A$2:$A$9,0)),"-")</f>
        <v>2294</v>
      </c>
      <c r="U21" s="108">
        <f>IFERROR(INDEX(Minutes_by_use_case!$C$2:$C$9,MATCH($B21,Minutes_by_use_case!$A$2:$A$9,0)),"-")</f>
        <v>2294</v>
      </c>
      <c r="V21" s="108">
        <f>IFERROR(INDEX(Minutes_by_use_case!$C$2:$C$9,MATCH($B21,Minutes_by_use_case!$A$2:$A$9,0)),"-")</f>
        <v>2294</v>
      </c>
    </row>
    <row r="22" spans="1:22" x14ac:dyDescent="0.25">
      <c r="A22" s="32" t="s">
        <v>115</v>
      </c>
      <c r="B22" s="32" t="s">
        <v>40</v>
      </c>
      <c r="C22" s="108">
        <f>IFERROR(INDEX(Minutes_by_use_case!$C$2:$C$9,MATCH($B22,Minutes_by_use_case!$A$2:$A$9,0)),"-")</f>
        <v>2364.2857142857142</v>
      </c>
      <c r="D22" s="108">
        <f>IFERROR(INDEX(Minutes_by_use_case!$C$2:$C$9,MATCH($B22,Minutes_by_use_case!$A$2:$A$9,0)),"-")</f>
        <v>2364.2857142857142</v>
      </c>
      <c r="E22" s="108">
        <f>IFERROR(INDEX(Minutes_by_use_case!$C$2:$C$9,MATCH($B22,Minutes_by_use_case!$A$2:$A$9,0)),"-")</f>
        <v>2364.2857142857142</v>
      </c>
      <c r="F22" s="108">
        <f>IFERROR(INDEX(Minutes_by_use_case!$C$2:$C$9,MATCH($B22,Minutes_by_use_case!$A$2:$A$9,0)),"-")</f>
        <v>2364.2857142857142</v>
      </c>
      <c r="G22" s="108">
        <f>IFERROR(INDEX(Minutes_by_use_case!$C$2:$C$9,MATCH($B22,Minutes_by_use_case!$A$2:$A$9,0)),"-")</f>
        <v>2364.2857142857142</v>
      </c>
      <c r="H22" s="108">
        <f>IFERROR(INDEX(Minutes_by_use_case!$C$2:$C$9,MATCH($B22,Minutes_by_use_case!$A$2:$A$9,0)),"-")</f>
        <v>2364.2857142857142</v>
      </c>
      <c r="I22" s="108">
        <f>IFERROR(INDEX(Minutes_by_use_case!$C$2:$C$9,MATCH($B22,Minutes_by_use_case!$A$2:$A$9,0)),"-")</f>
        <v>2364.2857142857142</v>
      </c>
      <c r="J22" s="108">
        <f>IFERROR(INDEX(Minutes_by_use_case!$C$2:$C$9,MATCH($B22,Minutes_by_use_case!$A$2:$A$9,0)),"-")</f>
        <v>2364.2857142857142</v>
      </c>
      <c r="K22" s="108">
        <f>IFERROR(INDEX(Minutes_by_use_case!$C$2:$C$9,MATCH($B22,Minutes_by_use_case!$A$2:$A$9,0)),"-")</f>
        <v>2364.2857142857142</v>
      </c>
      <c r="L22" s="108">
        <f>IFERROR(INDEX(Minutes_by_use_case!$C$2:$C$9,MATCH($B22,Minutes_by_use_case!$A$2:$A$9,0)),"-")</f>
        <v>2364.2857142857142</v>
      </c>
      <c r="M22" s="108">
        <f>IFERROR(INDEX(Minutes_by_use_case!$C$2:$C$9,MATCH($B22,Minutes_by_use_case!$A$2:$A$9,0)),"-")</f>
        <v>2364.2857142857142</v>
      </c>
      <c r="N22" s="108">
        <f>IFERROR(INDEX(Minutes_by_use_case!$C$2:$C$9,MATCH($B22,Minutes_by_use_case!$A$2:$A$9,0)),"-")</f>
        <v>2364.2857142857142</v>
      </c>
      <c r="O22" s="108">
        <f>IFERROR(INDEX(Minutes_by_use_case!$C$2:$C$9,MATCH($B22,Minutes_by_use_case!$A$2:$A$9,0)),"-")</f>
        <v>2364.2857142857142</v>
      </c>
      <c r="P22" s="108">
        <f>IFERROR(INDEX(Minutes_by_use_case!$C$2:$C$9,MATCH($B22,Minutes_by_use_case!$A$2:$A$9,0)),"-")</f>
        <v>2364.2857142857142</v>
      </c>
      <c r="Q22" s="108">
        <f>IFERROR(INDEX(Minutes_by_use_case!$C$2:$C$9,MATCH($B22,Minutes_by_use_case!$A$2:$A$9,0)),"-")</f>
        <v>2364.2857142857142</v>
      </c>
      <c r="R22" s="108">
        <f>IFERROR(INDEX(Minutes_by_use_case!$C$2:$C$9,MATCH($B22,Minutes_by_use_case!$A$2:$A$9,0)),"-")</f>
        <v>2364.2857142857142</v>
      </c>
      <c r="S22" s="108">
        <f>IFERROR(INDEX(Minutes_by_use_case!$C$2:$C$9,MATCH($B22,Minutes_by_use_case!$A$2:$A$9,0)),"-")</f>
        <v>2364.2857142857142</v>
      </c>
      <c r="T22" s="108">
        <f>IFERROR(INDEX(Minutes_by_use_case!$C$2:$C$9,MATCH($B22,Minutes_by_use_case!$A$2:$A$9,0)),"-")</f>
        <v>2364.2857142857142</v>
      </c>
      <c r="U22" s="108">
        <f>IFERROR(INDEX(Minutes_by_use_case!$C$2:$C$9,MATCH($B22,Minutes_by_use_case!$A$2:$A$9,0)),"-")</f>
        <v>2364.2857142857142</v>
      </c>
      <c r="V22" s="108">
        <f>IFERROR(INDEX(Minutes_by_use_case!$C$2:$C$9,MATCH($B22,Minutes_by_use_case!$A$2:$A$9,0)),"-")</f>
        <v>2364.2857142857142</v>
      </c>
    </row>
    <row r="23" spans="1:22" x14ac:dyDescent="0.25">
      <c r="A23" s="32" t="s">
        <v>116</v>
      </c>
      <c r="B23" s="32" t="s">
        <v>40</v>
      </c>
      <c r="C23" s="108">
        <f>IFERROR(INDEX(Minutes_by_use_case!$C$2:$C$9,MATCH($B23,Minutes_by_use_case!$A$2:$A$9,0)),"-")</f>
        <v>2364.2857142857142</v>
      </c>
      <c r="D23" s="108">
        <f>IFERROR(INDEX(Minutes_by_use_case!$C$2:$C$9,MATCH($B23,Minutes_by_use_case!$A$2:$A$9,0)),"-")</f>
        <v>2364.2857142857142</v>
      </c>
      <c r="E23" s="108">
        <f>IFERROR(INDEX(Minutes_by_use_case!$C$2:$C$9,MATCH($B23,Minutes_by_use_case!$A$2:$A$9,0)),"-")</f>
        <v>2364.2857142857142</v>
      </c>
      <c r="F23" s="108">
        <f>IFERROR(INDEX(Minutes_by_use_case!$C$2:$C$9,MATCH($B23,Minutes_by_use_case!$A$2:$A$9,0)),"-")</f>
        <v>2364.2857142857142</v>
      </c>
      <c r="G23" s="108">
        <f>IFERROR(INDEX(Minutes_by_use_case!$C$2:$C$9,MATCH($B23,Minutes_by_use_case!$A$2:$A$9,0)),"-")</f>
        <v>2364.2857142857142</v>
      </c>
      <c r="H23" s="108">
        <f>IFERROR(INDEX(Minutes_by_use_case!$C$2:$C$9,MATCH($B23,Minutes_by_use_case!$A$2:$A$9,0)),"-")</f>
        <v>2364.2857142857142</v>
      </c>
      <c r="I23" s="108">
        <f>IFERROR(INDEX(Minutes_by_use_case!$C$2:$C$9,MATCH($B23,Minutes_by_use_case!$A$2:$A$9,0)),"-")</f>
        <v>2364.2857142857142</v>
      </c>
      <c r="J23" s="108">
        <f>IFERROR(INDEX(Minutes_by_use_case!$C$2:$C$9,MATCH($B23,Minutes_by_use_case!$A$2:$A$9,0)),"-")</f>
        <v>2364.2857142857142</v>
      </c>
      <c r="K23" s="108">
        <f>IFERROR(INDEX(Minutes_by_use_case!$C$2:$C$9,MATCH($B23,Minutes_by_use_case!$A$2:$A$9,0)),"-")</f>
        <v>2364.2857142857142</v>
      </c>
      <c r="L23" s="108">
        <f>IFERROR(INDEX(Minutes_by_use_case!$C$2:$C$9,MATCH($B23,Minutes_by_use_case!$A$2:$A$9,0)),"-")</f>
        <v>2364.2857142857142</v>
      </c>
      <c r="M23" s="108">
        <f>IFERROR(INDEX(Minutes_by_use_case!$C$2:$C$9,MATCH($B23,Minutes_by_use_case!$A$2:$A$9,0)),"-")</f>
        <v>2364.2857142857142</v>
      </c>
      <c r="N23" s="108">
        <f>IFERROR(INDEX(Minutes_by_use_case!$C$2:$C$9,MATCH($B23,Minutes_by_use_case!$A$2:$A$9,0)),"-")</f>
        <v>2364.2857142857142</v>
      </c>
      <c r="O23" s="108">
        <f>IFERROR(INDEX(Minutes_by_use_case!$C$2:$C$9,MATCH($B23,Minutes_by_use_case!$A$2:$A$9,0)),"-")</f>
        <v>2364.2857142857142</v>
      </c>
      <c r="P23" s="108">
        <f>IFERROR(INDEX(Minutes_by_use_case!$C$2:$C$9,MATCH($B23,Minutes_by_use_case!$A$2:$A$9,0)),"-")</f>
        <v>2364.2857142857142</v>
      </c>
      <c r="Q23" s="108">
        <f>IFERROR(INDEX(Minutes_by_use_case!$C$2:$C$9,MATCH($B23,Minutes_by_use_case!$A$2:$A$9,0)),"-")</f>
        <v>2364.2857142857142</v>
      </c>
      <c r="R23" s="108">
        <f>IFERROR(INDEX(Minutes_by_use_case!$C$2:$C$9,MATCH($B23,Minutes_by_use_case!$A$2:$A$9,0)),"-")</f>
        <v>2364.2857142857142</v>
      </c>
      <c r="S23" s="108">
        <f>IFERROR(INDEX(Minutes_by_use_case!$C$2:$C$9,MATCH($B23,Minutes_by_use_case!$A$2:$A$9,0)),"-")</f>
        <v>2364.2857142857142</v>
      </c>
      <c r="T23" s="108">
        <f>IFERROR(INDEX(Minutes_by_use_case!$C$2:$C$9,MATCH($B23,Minutes_by_use_case!$A$2:$A$9,0)),"-")</f>
        <v>2364.2857142857142</v>
      </c>
      <c r="U23" s="108">
        <f>IFERROR(INDEX(Minutes_by_use_case!$C$2:$C$9,MATCH($B23,Minutes_by_use_case!$A$2:$A$9,0)),"-")</f>
        <v>2364.2857142857142</v>
      </c>
      <c r="V23" s="108">
        <f>IFERROR(INDEX(Minutes_by_use_case!$C$2:$C$9,MATCH($B23,Minutes_by_use_case!$A$2:$A$9,0)),"-")</f>
        <v>2364.2857142857142</v>
      </c>
    </row>
    <row r="24" spans="1:22" x14ac:dyDescent="0.25">
      <c r="A24" s="32" t="s">
        <v>117</v>
      </c>
      <c r="B24" s="32" t="s">
        <v>40</v>
      </c>
      <c r="C24" s="108">
        <f>IFERROR(INDEX(Minutes_by_use_case!$C$2:$C$9,MATCH($B24,Minutes_by_use_case!$A$2:$A$9,0)),"-")</f>
        <v>2364.2857142857142</v>
      </c>
      <c r="D24" s="108">
        <f>IFERROR(INDEX(Minutes_by_use_case!$C$2:$C$9,MATCH($B24,Minutes_by_use_case!$A$2:$A$9,0)),"-")</f>
        <v>2364.2857142857142</v>
      </c>
      <c r="E24" s="108">
        <f>IFERROR(INDEX(Minutes_by_use_case!$C$2:$C$9,MATCH($B24,Minutes_by_use_case!$A$2:$A$9,0)),"-")</f>
        <v>2364.2857142857142</v>
      </c>
      <c r="F24" s="108">
        <f>IFERROR(INDEX(Minutes_by_use_case!$C$2:$C$9,MATCH($B24,Minutes_by_use_case!$A$2:$A$9,0)),"-")</f>
        <v>2364.2857142857142</v>
      </c>
      <c r="G24" s="108">
        <f>IFERROR(INDEX(Minutes_by_use_case!$C$2:$C$9,MATCH($B24,Minutes_by_use_case!$A$2:$A$9,0)),"-")</f>
        <v>2364.2857142857142</v>
      </c>
      <c r="H24" s="108">
        <f>IFERROR(INDEX(Minutes_by_use_case!$C$2:$C$9,MATCH($B24,Minutes_by_use_case!$A$2:$A$9,0)),"-")</f>
        <v>2364.2857142857142</v>
      </c>
      <c r="I24" s="108">
        <f>IFERROR(INDEX(Minutes_by_use_case!$C$2:$C$9,MATCH($B24,Minutes_by_use_case!$A$2:$A$9,0)),"-")</f>
        <v>2364.2857142857142</v>
      </c>
      <c r="J24" s="108">
        <f>IFERROR(INDEX(Minutes_by_use_case!$C$2:$C$9,MATCH($B24,Minutes_by_use_case!$A$2:$A$9,0)),"-")</f>
        <v>2364.2857142857142</v>
      </c>
      <c r="K24" s="108">
        <f>IFERROR(INDEX(Minutes_by_use_case!$C$2:$C$9,MATCH($B24,Minutes_by_use_case!$A$2:$A$9,0)),"-")</f>
        <v>2364.2857142857142</v>
      </c>
      <c r="L24" s="108">
        <f>IFERROR(INDEX(Minutes_by_use_case!$C$2:$C$9,MATCH($B24,Minutes_by_use_case!$A$2:$A$9,0)),"-")</f>
        <v>2364.2857142857142</v>
      </c>
      <c r="M24" s="108">
        <f>IFERROR(INDEX(Minutes_by_use_case!$C$2:$C$9,MATCH($B24,Minutes_by_use_case!$A$2:$A$9,0)),"-")</f>
        <v>2364.2857142857142</v>
      </c>
      <c r="N24" s="108">
        <f>IFERROR(INDEX(Minutes_by_use_case!$C$2:$C$9,MATCH($B24,Minutes_by_use_case!$A$2:$A$9,0)),"-")</f>
        <v>2364.2857142857142</v>
      </c>
      <c r="O24" s="108">
        <f>IFERROR(INDEX(Minutes_by_use_case!$C$2:$C$9,MATCH($B24,Minutes_by_use_case!$A$2:$A$9,0)),"-")</f>
        <v>2364.2857142857142</v>
      </c>
      <c r="P24" s="108">
        <f>IFERROR(INDEX(Minutes_by_use_case!$C$2:$C$9,MATCH($B24,Minutes_by_use_case!$A$2:$A$9,0)),"-")</f>
        <v>2364.2857142857142</v>
      </c>
      <c r="Q24" s="108">
        <f>IFERROR(INDEX(Minutes_by_use_case!$C$2:$C$9,MATCH($B24,Minutes_by_use_case!$A$2:$A$9,0)),"-")</f>
        <v>2364.2857142857142</v>
      </c>
      <c r="R24" s="108">
        <f>IFERROR(INDEX(Minutes_by_use_case!$C$2:$C$9,MATCH($B24,Minutes_by_use_case!$A$2:$A$9,0)),"-")</f>
        <v>2364.2857142857142</v>
      </c>
      <c r="S24" s="108">
        <f>IFERROR(INDEX(Minutes_by_use_case!$C$2:$C$9,MATCH($B24,Minutes_by_use_case!$A$2:$A$9,0)),"-")</f>
        <v>2364.2857142857142</v>
      </c>
      <c r="T24" s="108">
        <f>IFERROR(INDEX(Minutes_by_use_case!$C$2:$C$9,MATCH($B24,Minutes_by_use_case!$A$2:$A$9,0)),"-")</f>
        <v>2364.2857142857142</v>
      </c>
      <c r="U24" s="108">
        <f>IFERROR(INDEX(Minutes_by_use_case!$C$2:$C$9,MATCH($B24,Minutes_by_use_case!$A$2:$A$9,0)),"-")</f>
        <v>2364.2857142857142</v>
      </c>
      <c r="V24" s="108">
        <f>IFERROR(INDEX(Minutes_by_use_case!$C$2:$C$9,MATCH($B24,Minutes_by_use_case!$A$2:$A$9,0)),"-")</f>
        <v>2364.2857142857142</v>
      </c>
    </row>
    <row r="25" spans="1:22" x14ac:dyDescent="0.25">
      <c r="A25" s="32" t="s">
        <v>118</v>
      </c>
      <c r="B25" s="32" t="s">
        <v>40</v>
      </c>
      <c r="C25" s="108">
        <f>IFERROR(INDEX(Minutes_by_use_case!$C$2:$C$9,MATCH($B25,Minutes_by_use_case!$A$2:$A$9,0)),"-")</f>
        <v>2364.2857142857142</v>
      </c>
      <c r="D25" s="108">
        <f>IFERROR(INDEX(Minutes_by_use_case!$C$2:$C$9,MATCH($B25,Minutes_by_use_case!$A$2:$A$9,0)),"-")</f>
        <v>2364.2857142857142</v>
      </c>
      <c r="E25" s="108">
        <f>IFERROR(INDEX(Minutes_by_use_case!$C$2:$C$9,MATCH($B25,Minutes_by_use_case!$A$2:$A$9,0)),"-")</f>
        <v>2364.2857142857142</v>
      </c>
      <c r="F25" s="108">
        <f>IFERROR(INDEX(Minutes_by_use_case!$C$2:$C$9,MATCH($B25,Minutes_by_use_case!$A$2:$A$9,0)),"-")</f>
        <v>2364.2857142857142</v>
      </c>
      <c r="G25" s="108">
        <f>IFERROR(INDEX(Minutes_by_use_case!$C$2:$C$9,MATCH($B25,Minutes_by_use_case!$A$2:$A$9,0)),"-")</f>
        <v>2364.2857142857142</v>
      </c>
      <c r="H25" s="108">
        <f>IFERROR(INDEX(Minutes_by_use_case!$C$2:$C$9,MATCH($B25,Minutes_by_use_case!$A$2:$A$9,0)),"-")</f>
        <v>2364.2857142857142</v>
      </c>
      <c r="I25" s="108">
        <f>IFERROR(INDEX(Minutes_by_use_case!$C$2:$C$9,MATCH($B25,Minutes_by_use_case!$A$2:$A$9,0)),"-")</f>
        <v>2364.2857142857142</v>
      </c>
      <c r="J25" s="108">
        <f>IFERROR(INDEX(Minutes_by_use_case!$C$2:$C$9,MATCH($B25,Minutes_by_use_case!$A$2:$A$9,0)),"-")</f>
        <v>2364.2857142857142</v>
      </c>
      <c r="K25" s="108">
        <f>IFERROR(INDEX(Minutes_by_use_case!$C$2:$C$9,MATCH($B25,Minutes_by_use_case!$A$2:$A$9,0)),"-")</f>
        <v>2364.2857142857142</v>
      </c>
      <c r="L25" s="108">
        <f>IFERROR(INDEX(Minutes_by_use_case!$C$2:$C$9,MATCH($B25,Minutes_by_use_case!$A$2:$A$9,0)),"-")</f>
        <v>2364.2857142857142</v>
      </c>
      <c r="M25" s="108">
        <f>IFERROR(INDEX(Minutes_by_use_case!$C$2:$C$9,MATCH($B25,Minutes_by_use_case!$A$2:$A$9,0)),"-")</f>
        <v>2364.2857142857142</v>
      </c>
      <c r="N25" s="108">
        <f>IFERROR(INDEX(Minutes_by_use_case!$C$2:$C$9,MATCH($B25,Minutes_by_use_case!$A$2:$A$9,0)),"-")</f>
        <v>2364.2857142857142</v>
      </c>
      <c r="O25" s="108">
        <f>IFERROR(INDEX(Minutes_by_use_case!$C$2:$C$9,MATCH($B25,Minutes_by_use_case!$A$2:$A$9,0)),"-")</f>
        <v>2364.2857142857142</v>
      </c>
      <c r="P25" s="108">
        <f>IFERROR(INDEX(Minutes_by_use_case!$C$2:$C$9,MATCH($B25,Minutes_by_use_case!$A$2:$A$9,0)),"-")</f>
        <v>2364.2857142857142</v>
      </c>
      <c r="Q25" s="108">
        <f>IFERROR(INDEX(Minutes_by_use_case!$C$2:$C$9,MATCH($B25,Minutes_by_use_case!$A$2:$A$9,0)),"-")</f>
        <v>2364.2857142857142</v>
      </c>
      <c r="R25" s="108">
        <f>IFERROR(INDEX(Minutes_by_use_case!$C$2:$C$9,MATCH($B25,Minutes_by_use_case!$A$2:$A$9,0)),"-")</f>
        <v>2364.2857142857142</v>
      </c>
      <c r="S25" s="108">
        <f>IFERROR(INDEX(Minutes_by_use_case!$C$2:$C$9,MATCH($B25,Minutes_by_use_case!$A$2:$A$9,0)),"-")</f>
        <v>2364.2857142857142</v>
      </c>
      <c r="T25" s="108">
        <f>IFERROR(INDEX(Minutes_by_use_case!$C$2:$C$9,MATCH($B25,Minutes_by_use_case!$A$2:$A$9,0)),"-")</f>
        <v>2364.2857142857142</v>
      </c>
      <c r="U25" s="108">
        <f>IFERROR(INDEX(Minutes_by_use_case!$C$2:$C$9,MATCH($B25,Minutes_by_use_case!$A$2:$A$9,0)),"-")</f>
        <v>2364.2857142857142</v>
      </c>
      <c r="V25" s="108">
        <f>IFERROR(INDEX(Minutes_by_use_case!$C$2:$C$9,MATCH($B25,Minutes_by_use_case!$A$2:$A$9,0)),"-")</f>
        <v>2364.2857142857142</v>
      </c>
    </row>
    <row r="26" spans="1:22" x14ac:dyDescent="0.25">
      <c r="A26" s="32" t="s">
        <v>27</v>
      </c>
      <c r="B26" s="32" t="s">
        <v>45</v>
      </c>
      <c r="C26" s="108">
        <f>IFERROR(INDEX(Minutes_by_use_case!$C$2:$C$9,MATCH($B26,Minutes_by_use_case!$A$2:$A$9,0)),"-")</f>
        <v>33739.333333333336</v>
      </c>
      <c r="D26" s="108">
        <f>IFERROR(INDEX(Minutes_by_use_case!$C$2:$C$9,MATCH($B26,Minutes_by_use_case!$A$2:$A$9,0)),"-")</f>
        <v>33739.333333333336</v>
      </c>
      <c r="E26" s="108">
        <f>IFERROR(INDEX(Minutes_by_use_case!$C$2:$C$9,MATCH($B26,Minutes_by_use_case!$A$2:$A$9,0)),"-")</f>
        <v>33739.333333333336</v>
      </c>
      <c r="F26" s="108">
        <f>IFERROR(INDEX(Minutes_by_use_case!$C$2:$C$9,MATCH($B26,Minutes_by_use_case!$A$2:$A$9,0)),"-")</f>
        <v>33739.333333333336</v>
      </c>
      <c r="G26" s="108">
        <f>IFERROR(INDEX(Minutes_by_use_case!$C$2:$C$9,MATCH($B26,Minutes_by_use_case!$A$2:$A$9,0)),"-")</f>
        <v>33739.333333333336</v>
      </c>
      <c r="H26" s="108">
        <f>IFERROR(INDEX(Minutes_by_use_case!$C$2:$C$9,MATCH($B26,Minutes_by_use_case!$A$2:$A$9,0)),"-")</f>
        <v>33739.333333333336</v>
      </c>
      <c r="I26" s="108">
        <f>IFERROR(INDEX(Minutes_by_use_case!$C$2:$C$9,MATCH($B26,Minutes_by_use_case!$A$2:$A$9,0)),"-")</f>
        <v>33739.333333333336</v>
      </c>
      <c r="J26" s="108">
        <f>IFERROR(INDEX(Minutes_by_use_case!$C$2:$C$9,MATCH($B26,Minutes_by_use_case!$A$2:$A$9,0)),"-")</f>
        <v>33739.333333333336</v>
      </c>
      <c r="K26" s="108">
        <f>IFERROR(INDEX(Minutes_by_use_case!$C$2:$C$9,MATCH($B26,Minutes_by_use_case!$A$2:$A$9,0)),"-")</f>
        <v>33739.333333333336</v>
      </c>
      <c r="L26" s="108">
        <f>IFERROR(INDEX(Minutes_by_use_case!$C$2:$C$9,MATCH($B26,Minutes_by_use_case!$A$2:$A$9,0)),"-")</f>
        <v>33739.333333333336</v>
      </c>
      <c r="M26" s="108">
        <f>IFERROR(INDEX(Minutes_by_use_case!$C$2:$C$9,MATCH($B26,Minutes_by_use_case!$A$2:$A$9,0)),"-")</f>
        <v>33739.333333333336</v>
      </c>
      <c r="N26" s="108">
        <f>IFERROR(INDEX(Minutes_by_use_case!$C$2:$C$9,MATCH($B26,Minutes_by_use_case!$A$2:$A$9,0)),"-")</f>
        <v>33739.333333333336</v>
      </c>
      <c r="O26" s="108">
        <f>IFERROR(INDEX(Minutes_by_use_case!$C$2:$C$9,MATCH($B26,Minutes_by_use_case!$A$2:$A$9,0)),"-")</f>
        <v>33739.333333333336</v>
      </c>
      <c r="P26" s="108">
        <f>IFERROR(INDEX(Minutes_by_use_case!$C$2:$C$9,MATCH($B26,Minutes_by_use_case!$A$2:$A$9,0)),"-")</f>
        <v>33739.333333333336</v>
      </c>
      <c r="Q26" s="108">
        <f>IFERROR(INDEX(Minutes_by_use_case!$C$2:$C$9,MATCH($B26,Minutes_by_use_case!$A$2:$A$9,0)),"-")</f>
        <v>33739.333333333336</v>
      </c>
      <c r="R26" s="108">
        <f>IFERROR(INDEX(Minutes_by_use_case!$C$2:$C$9,MATCH($B26,Minutes_by_use_case!$A$2:$A$9,0)),"-")</f>
        <v>33739.333333333336</v>
      </c>
      <c r="S26" s="108">
        <f>IFERROR(INDEX(Minutes_by_use_case!$C$2:$C$9,MATCH($B26,Minutes_by_use_case!$A$2:$A$9,0)),"-")</f>
        <v>33739.333333333336</v>
      </c>
      <c r="T26" s="108">
        <f>IFERROR(INDEX(Minutes_by_use_case!$C$2:$C$9,MATCH($B26,Minutes_by_use_case!$A$2:$A$9,0)),"-")</f>
        <v>33739.333333333336</v>
      </c>
      <c r="U26" s="108">
        <f>IFERROR(INDEX(Minutes_by_use_case!$C$2:$C$9,MATCH($B26,Minutes_by_use_case!$A$2:$A$9,0)),"-")</f>
        <v>33739.333333333336</v>
      </c>
      <c r="V26" s="108">
        <f>IFERROR(INDEX(Minutes_by_use_case!$C$2:$C$9,MATCH($B26,Minutes_by_use_case!$A$2:$A$9,0)),"-")</f>
        <v>33739.333333333336</v>
      </c>
    </row>
    <row r="27" spans="1:22" x14ac:dyDescent="0.25">
      <c r="A27" s="32" t="s">
        <v>28</v>
      </c>
      <c r="B27" s="32" t="s">
        <v>41</v>
      </c>
      <c r="C27" s="108">
        <f>IFERROR(INDEX(Minutes_by_use_case!$C$2:$C$9,MATCH($B27,Minutes_by_use_case!$A$2:$A$9,0)),"-")</f>
        <v>66700.388888888891</v>
      </c>
      <c r="D27" s="108">
        <f>IFERROR(INDEX(Minutes_by_use_case!$C$2:$C$9,MATCH($B27,Minutes_by_use_case!$A$2:$A$9,0)),"-")</f>
        <v>66700.388888888891</v>
      </c>
      <c r="E27" s="108">
        <f>IFERROR(INDEX(Minutes_by_use_case!$C$2:$C$9,MATCH($B27,Minutes_by_use_case!$A$2:$A$9,0)),"-")</f>
        <v>66700.388888888891</v>
      </c>
      <c r="F27" s="108">
        <f>IFERROR(INDEX(Minutes_by_use_case!$C$2:$C$9,MATCH($B27,Minutes_by_use_case!$A$2:$A$9,0)),"-")</f>
        <v>66700.388888888891</v>
      </c>
      <c r="G27" s="108">
        <f>IFERROR(INDEX(Minutes_by_use_case!$C$2:$C$9,MATCH($B27,Minutes_by_use_case!$A$2:$A$9,0)),"-")</f>
        <v>66700.388888888891</v>
      </c>
      <c r="H27" s="108">
        <f>IFERROR(INDEX(Minutes_by_use_case!$C$2:$C$9,MATCH($B27,Minutes_by_use_case!$A$2:$A$9,0)),"-")</f>
        <v>66700.388888888891</v>
      </c>
      <c r="I27" s="108">
        <f>IFERROR(INDEX(Minutes_by_use_case!$C$2:$C$9,MATCH($B27,Minutes_by_use_case!$A$2:$A$9,0)),"-")</f>
        <v>66700.388888888891</v>
      </c>
      <c r="J27" s="108">
        <f>IFERROR(INDEX(Minutes_by_use_case!$C$2:$C$9,MATCH($B27,Minutes_by_use_case!$A$2:$A$9,0)),"-")</f>
        <v>66700.388888888891</v>
      </c>
      <c r="K27" s="108">
        <f>IFERROR(INDEX(Minutes_by_use_case!$C$2:$C$9,MATCH($B27,Minutes_by_use_case!$A$2:$A$9,0)),"-")</f>
        <v>66700.388888888891</v>
      </c>
      <c r="L27" s="108">
        <f>IFERROR(INDEX(Minutes_by_use_case!$C$2:$C$9,MATCH($B27,Minutes_by_use_case!$A$2:$A$9,0)),"-")</f>
        <v>66700.388888888891</v>
      </c>
      <c r="M27" s="108">
        <f>IFERROR(INDEX(Minutes_by_use_case!$C$2:$C$9,MATCH($B27,Minutes_by_use_case!$A$2:$A$9,0)),"-")</f>
        <v>66700.388888888891</v>
      </c>
      <c r="N27" s="108">
        <f>IFERROR(INDEX(Minutes_by_use_case!$C$2:$C$9,MATCH($B27,Minutes_by_use_case!$A$2:$A$9,0)),"-")</f>
        <v>66700.388888888891</v>
      </c>
      <c r="O27" s="108">
        <f>IFERROR(INDEX(Minutes_by_use_case!$C$2:$C$9,MATCH($B27,Minutes_by_use_case!$A$2:$A$9,0)),"-")</f>
        <v>66700.388888888891</v>
      </c>
      <c r="P27" s="108">
        <f>IFERROR(INDEX(Minutes_by_use_case!$C$2:$C$9,MATCH($B27,Minutes_by_use_case!$A$2:$A$9,0)),"-")</f>
        <v>66700.388888888891</v>
      </c>
      <c r="Q27" s="108">
        <f>IFERROR(INDEX(Minutes_by_use_case!$C$2:$C$9,MATCH($B27,Minutes_by_use_case!$A$2:$A$9,0)),"-")</f>
        <v>66700.388888888891</v>
      </c>
      <c r="R27" s="108">
        <f>IFERROR(INDEX(Minutes_by_use_case!$C$2:$C$9,MATCH($B27,Minutes_by_use_case!$A$2:$A$9,0)),"-")</f>
        <v>66700.388888888891</v>
      </c>
      <c r="S27" s="108">
        <f>IFERROR(INDEX(Minutes_by_use_case!$C$2:$C$9,MATCH($B27,Minutes_by_use_case!$A$2:$A$9,0)),"-")</f>
        <v>66700.388888888891</v>
      </c>
      <c r="T27" s="108">
        <f>IFERROR(INDEX(Minutes_by_use_case!$C$2:$C$9,MATCH($B27,Minutes_by_use_case!$A$2:$A$9,0)),"-")</f>
        <v>66700.388888888891</v>
      </c>
      <c r="U27" s="108">
        <f>IFERROR(INDEX(Minutes_by_use_case!$C$2:$C$9,MATCH($B27,Minutes_by_use_case!$A$2:$A$9,0)),"-")</f>
        <v>66700.388888888891</v>
      </c>
      <c r="V27" s="108">
        <f>IFERROR(INDEX(Minutes_by_use_case!$C$2:$C$9,MATCH($B27,Minutes_by_use_case!$A$2:$A$9,0)),"-")</f>
        <v>66700.388888888891</v>
      </c>
    </row>
    <row r="28" spans="1:22" x14ac:dyDescent="0.25">
      <c r="A28" s="32" t="s">
        <v>62</v>
      </c>
      <c r="B28" s="32" t="s">
        <v>41</v>
      </c>
      <c r="C28" s="108">
        <f>IFERROR(INDEX(Minutes_by_use_case!$C$2:$C$9,MATCH($B28,Minutes_by_use_case!$A$2:$A$9,0)),"-")</f>
        <v>66700.388888888891</v>
      </c>
      <c r="D28" s="108">
        <f>IFERROR(INDEX(Minutes_by_use_case!$C$2:$C$9,MATCH($B28,Minutes_by_use_case!$A$2:$A$9,0)),"-")</f>
        <v>66700.388888888891</v>
      </c>
      <c r="E28" s="108">
        <f>IFERROR(INDEX(Minutes_by_use_case!$C$2:$C$9,MATCH($B28,Minutes_by_use_case!$A$2:$A$9,0)),"-")</f>
        <v>66700.388888888891</v>
      </c>
      <c r="F28" s="108">
        <f>IFERROR(INDEX(Minutes_by_use_case!$C$2:$C$9,MATCH($B28,Minutes_by_use_case!$A$2:$A$9,0)),"-")</f>
        <v>66700.388888888891</v>
      </c>
      <c r="G28" s="108">
        <f>IFERROR(INDEX(Minutes_by_use_case!$C$2:$C$9,MATCH($B28,Minutes_by_use_case!$A$2:$A$9,0)),"-")</f>
        <v>66700.388888888891</v>
      </c>
      <c r="H28" s="108">
        <f>IFERROR(INDEX(Minutes_by_use_case!$C$2:$C$9,MATCH($B28,Minutes_by_use_case!$A$2:$A$9,0)),"-")</f>
        <v>66700.388888888891</v>
      </c>
      <c r="I28" s="108">
        <f>IFERROR(INDEX(Minutes_by_use_case!$C$2:$C$9,MATCH($B28,Minutes_by_use_case!$A$2:$A$9,0)),"-")</f>
        <v>66700.388888888891</v>
      </c>
      <c r="J28" s="108">
        <f>IFERROR(INDEX(Minutes_by_use_case!$C$2:$C$9,MATCH($B28,Minutes_by_use_case!$A$2:$A$9,0)),"-")</f>
        <v>66700.388888888891</v>
      </c>
      <c r="K28" s="108">
        <f>IFERROR(INDEX(Minutes_by_use_case!$C$2:$C$9,MATCH($B28,Minutes_by_use_case!$A$2:$A$9,0)),"-")</f>
        <v>66700.388888888891</v>
      </c>
      <c r="L28" s="108">
        <f>IFERROR(INDEX(Minutes_by_use_case!$C$2:$C$9,MATCH($B28,Minutes_by_use_case!$A$2:$A$9,0)),"-")</f>
        <v>66700.388888888891</v>
      </c>
      <c r="M28" s="108">
        <f>IFERROR(INDEX(Minutes_by_use_case!$C$2:$C$9,MATCH($B28,Minutes_by_use_case!$A$2:$A$9,0)),"-")</f>
        <v>66700.388888888891</v>
      </c>
      <c r="N28" s="108">
        <f>IFERROR(INDEX(Minutes_by_use_case!$C$2:$C$9,MATCH($B28,Minutes_by_use_case!$A$2:$A$9,0)),"-")</f>
        <v>66700.388888888891</v>
      </c>
      <c r="O28" s="108">
        <f>IFERROR(INDEX(Minutes_by_use_case!$C$2:$C$9,MATCH($B28,Minutes_by_use_case!$A$2:$A$9,0)),"-")</f>
        <v>66700.388888888891</v>
      </c>
      <c r="P28" s="108">
        <f>IFERROR(INDEX(Minutes_by_use_case!$C$2:$C$9,MATCH($B28,Minutes_by_use_case!$A$2:$A$9,0)),"-")</f>
        <v>66700.388888888891</v>
      </c>
      <c r="Q28" s="108">
        <f>IFERROR(INDEX(Minutes_by_use_case!$C$2:$C$9,MATCH($B28,Minutes_by_use_case!$A$2:$A$9,0)),"-")</f>
        <v>66700.388888888891</v>
      </c>
      <c r="R28" s="108">
        <f>IFERROR(INDEX(Minutes_by_use_case!$C$2:$C$9,MATCH($B28,Minutes_by_use_case!$A$2:$A$9,0)),"-")</f>
        <v>66700.388888888891</v>
      </c>
      <c r="S28" s="108">
        <f>IFERROR(INDEX(Minutes_by_use_case!$C$2:$C$9,MATCH($B28,Minutes_by_use_case!$A$2:$A$9,0)),"-")</f>
        <v>66700.388888888891</v>
      </c>
      <c r="T28" s="108">
        <f>IFERROR(INDEX(Minutes_by_use_case!$C$2:$C$9,MATCH($B28,Minutes_by_use_case!$A$2:$A$9,0)),"-")</f>
        <v>66700.388888888891</v>
      </c>
      <c r="U28" s="108">
        <f>IFERROR(INDEX(Minutes_by_use_case!$C$2:$C$9,MATCH($B28,Minutes_by_use_case!$A$2:$A$9,0)),"-")</f>
        <v>66700.388888888891</v>
      </c>
      <c r="V28" s="108">
        <f>IFERROR(INDEX(Minutes_by_use_case!$C$2:$C$9,MATCH($B28,Minutes_by_use_case!$A$2:$A$9,0)),"-")</f>
        <v>66700.388888888891</v>
      </c>
    </row>
    <row r="29" spans="1:22" x14ac:dyDescent="0.25">
      <c r="A29" s="32" t="s">
        <v>29</v>
      </c>
      <c r="B29" s="32" t="s">
        <v>41</v>
      </c>
      <c r="C29" s="108">
        <f>IFERROR(INDEX(Minutes_by_use_case!$C$2:$C$9,MATCH($B29,Minutes_by_use_case!$A$2:$A$9,0)),"-")</f>
        <v>66700.388888888891</v>
      </c>
      <c r="D29" s="108">
        <f>IFERROR(INDEX(Minutes_by_use_case!$C$2:$C$9,MATCH($B29,Minutes_by_use_case!$A$2:$A$9,0)),"-")</f>
        <v>66700.388888888891</v>
      </c>
      <c r="E29" s="108">
        <f>IFERROR(INDEX(Minutes_by_use_case!$C$2:$C$9,MATCH($B29,Minutes_by_use_case!$A$2:$A$9,0)),"-")</f>
        <v>66700.388888888891</v>
      </c>
      <c r="F29" s="108">
        <f>IFERROR(INDEX(Minutes_by_use_case!$C$2:$C$9,MATCH($B29,Minutes_by_use_case!$A$2:$A$9,0)),"-")</f>
        <v>66700.388888888891</v>
      </c>
      <c r="G29" s="108">
        <f>IFERROR(INDEX(Minutes_by_use_case!$C$2:$C$9,MATCH($B29,Minutes_by_use_case!$A$2:$A$9,0)),"-")</f>
        <v>66700.388888888891</v>
      </c>
      <c r="H29" s="108">
        <f>IFERROR(INDEX(Minutes_by_use_case!$C$2:$C$9,MATCH($B29,Minutes_by_use_case!$A$2:$A$9,0)),"-")</f>
        <v>66700.388888888891</v>
      </c>
      <c r="I29" s="108">
        <f>IFERROR(INDEX(Minutes_by_use_case!$C$2:$C$9,MATCH($B29,Minutes_by_use_case!$A$2:$A$9,0)),"-")</f>
        <v>66700.388888888891</v>
      </c>
      <c r="J29" s="108">
        <f>IFERROR(INDEX(Minutes_by_use_case!$C$2:$C$9,MATCH($B29,Minutes_by_use_case!$A$2:$A$9,0)),"-")</f>
        <v>66700.388888888891</v>
      </c>
      <c r="K29" s="108">
        <f>IFERROR(INDEX(Minutes_by_use_case!$C$2:$C$9,MATCH($B29,Minutes_by_use_case!$A$2:$A$9,0)),"-")</f>
        <v>66700.388888888891</v>
      </c>
      <c r="L29" s="108">
        <f>IFERROR(INDEX(Minutes_by_use_case!$C$2:$C$9,MATCH($B29,Minutes_by_use_case!$A$2:$A$9,0)),"-")</f>
        <v>66700.388888888891</v>
      </c>
      <c r="M29" s="108">
        <f>IFERROR(INDEX(Minutes_by_use_case!$C$2:$C$9,MATCH($B29,Minutes_by_use_case!$A$2:$A$9,0)),"-")</f>
        <v>66700.388888888891</v>
      </c>
      <c r="N29" s="108">
        <f>IFERROR(INDEX(Minutes_by_use_case!$C$2:$C$9,MATCH($B29,Minutes_by_use_case!$A$2:$A$9,0)),"-")</f>
        <v>66700.388888888891</v>
      </c>
      <c r="O29" s="108">
        <f>IFERROR(INDEX(Minutes_by_use_case!$C$2:$C$9,MATCH($B29,Minutes_by_use_case!$A$2:$A$9,0)),"-")</f>
        <v>66700.388888888891</v>
      </c>
      <c r="P29" s="108">
        <f>IFERROR(INDEX(Minutes_by_use_case!$C$2:$C$9,MATCH($B29,Minutes_by_use_case!$A$2:$A$9,0)),"-")</f>
        <v>66700.388888888891</v>
      </c>
      <c r="Q29" s="108">
        <f>IFERROR(INDEX(Minutes_by_use_case!$C$2:$C$9,MATCH($B29,Minutes_by_use_case!$A$2:$A$9,0)),"-")</f>
        <v>66700.388888888891</v>
      </c>
      <c r="R29" s="108">
        <f>IFERROR(INDEX(Minutes_by_use_case!$C$2:$C$9,MATCH($B29,Minutes_by_use_case!$A$2:$A$9,0)),"-")</f>
        <v>66700.388888888891</v>
      </c>
      <c r="S29" s="108">
        <f>IFERROR(INDEX(Minutes_by_use_case!$C$2:$C$9,MATCH($B29,Minutes_by_use_case!$A$2:$A$9,0)),"-")</f>
        <v>66700.388888888891</v>
      </c>
      <c r="T29" s="108">
        <f>IFERROR(INDEX(Minutes_by_use_case!$C$2:$C$9,MATCH($B29,Minutes_by_use_case!$A$2:$A$9,0)),"-")</f>
        <v>66700.388888888891</v>
      </c>
      <c r="U29" s="108">
        <f>IFERROR(INDEX(Minutes_by_use_case!$C$2:$C$9,MATCH($B29,Minutes_by_use_case!$A$2:$A$9,0)),"-")</f>
        <v>66700.388888888891</v>
      </c>
      <c r="V29" s="108">
        <f>IFERROR(INDEX(Minutes_by_use_case!$C$2:$C$9,MATCH($B29,Minutes_by_use_case!$A$2:$A$9,0)),"-")</f>
        <v>66700.388888888891</v>
      </c>
    </row>
    <row r="30" spans="1:22" x14ac:dyDescent="0.25">
      <c r="A30" s="32" t="s">
        <v>30</v>
      </c>
      <c r="B30" s="32" t="s">
        <v>43</v>
      </c>
      <c r="C30" s="108">
        <f>IFERROR(INDEX(Minutes_by_use_case!$C$2:$C$9,MATCH($B30,Minutes_by_use_case!$A$2:$A$9,0)),"-")</f>
        <v>114879</v>
      </c>
      <c r="D30" s="108">
        <f>IFERROR(INDEX(Minutes_by_use_case!$C$2:$C$9,MATCH($B30,Minutes_by_use_case!$A$2:$A$9,0)),"-")</f>
        <v>114879</v>
      </c>
      <c r="E30" s="108">
        <f>IFERROR(INDEX(Minutes_by_use_case!$C$2:$C$9,MATCH($B30,Minutes_by_use_case!$A$2:$A$9,0)),"-")</f>
        <v>114879</v>
      </c>
      <c r="F30" s="108">
        <f>IFERROR(INDEX(Minutes_by_use_case!$C$2:$C$9,MATCH($B30,Minutes_by_use_case!$A$2:$A$9,0)),"-")</f>
        <v>114879</v>
      </c>
      <c r="G30" s="108">
        <f>IFERROR(INDEX(Minutes_by_use_case!$C$2:$C$9,MATCH($B30,Minutes_by_use_case!$A$2:$A$9,0)),"-")</f>
        <v>114879</v>
      </c>
      <c r="H30" s="108">
        <f>IFERROR(INDEX(Minutes_by_use_case!$C$2:$C$9,MATCH($B30,Minutes_by_use_case!$A$2:$A$9,0)),"-")</f>
        <v>114879</v>
      </c>
      <c r="I30" s="108">
        <f>IFERROR(INDEX(Minutes_by_use_case!$C$2:$C$9,MATCH($B30,Minutes_by_use_case!$A$2:$A$9,0)),"-")</f>
        <v>114879</v>
      </c>
      <c r="J30" s="108">
        <f>IFERROR(INDEX(Minutes_by_use_case!$C$2:$C$9,MATCH($B30,Minutes_by_use_case!$A$2:$A$9,0)),"-")</f>
        <v>114879</v>
      </c>
      <c r="K30" s="108">
        <f>IFERROR(INDEX(Minutes_by_use_case!$C$2:$C$9,MATCH($B30,Minutes_by_use_case!$A$2:$A$9,0)),"-")</f>
        <v>114879</v>
      </c>
      <c r="L30" s="108">
        <f>IFERROR(INDEX(Minutes_by_use_case!$C$2:$C$9,MATCH($B30,Minutes_by_use_case!$A$2:$A$9,0)),"-")</f>
        <v>114879</v>
      </c>
      <c r="M30" s="108">
        <f>IFERROR(INDEX(Minutes_by_use_case!$C$2:$C$9,MATCH($B30,Minutes_by_use_case!$A$2:$A$9,0)),"-")</f>
        <v>114879</v>
      </c>
      <c r="N30" s="108">
        <f>IFERROR(INDEX(Minutes_by_use_case!$C$2:$C$9,MATCH($B30,Minutes_by_use_case!$A$2:$A$9,0)),"-")</f>
        <v>114879</v>
      </c>
      <c r="O30" s="108">
        <f>IFERROR(INDEX(Minutes_by_use_case!$C$2:$C$9,MATCH($B30,Minutes_by_use_case!$A$2:$A$9,0)),"-")</f>
        <v>114879</v>
      </c>
      <c r="P30" s="108">
        <f>IFERROR(INDEX(Minutes_by_use_case!$C$2:$C$9,MATCH($B30,Minutes_by_use_case!$A$2:$A$9,0)),"-")</f>
        <v>114879</v>
      </c>
      <c r="Q30" s="108">
        <f>IFERROR(INDEX(Minutes_by_use_case!$C$2:$C$9,MATCH($B30,Minutes_by_use_case!$A$2:$A$9,0)),"-")</f>
        <v>114879</v>
      </c>
      <c r="R30" s="108">
        <f>IFERROR(INDEX(Minutes_by_use_case!$C$2:$C$9,MATCH($B30,Minutes_by_use_case!$A$2:$A$9,0)),"-")</f>
        <v>114879</v>
      </c>
      <c r="S30" s="108">
        <f>IFERROR(INDEX(Minutes_by_use_case!$C$2:$C$9,MATCH($B30,Minutes_by_use_case!$A$2:$A$9,0)),"-")</f>
        <v>114879</v>
      </c>
      <c r="T30" s="108">
        <f>IFERROR(INDEX(Minutes_by_use_case!$C$2:$C$9,MATCH($B30,Minutes_by_use_case!$A$2:$A$9,0)),"-")</f>
        <v>114879</v>
      </c>
      <c r="U30" s="108">
        <f>IFERROR(INDEX(Minutes_by_use_case!$C$2:$C$9,MATCH($B30,Minutes_by_use_case!$A$2:$A$9,0)),"-")</f>
        <v>114879</v>
      </c>
      <c r="V30" s="108">
        <f>IFERROR(INDEX(Minutes_by_use_case!$C$2:$C$9,MATCH($B30,Minutes_by_use_case!$A$2:$A$9,0)),"-")</f>
        <v>114879</v>
      </c>
    </row>
    <row r="31" spans="1:22" x14ac:dyDescent="0.25">
      <c r="A31" s="32" t="s">
        <v>54</v>
      </c>
      <c r="B31" s="32" t="s">
        <v>43</v>
      </c>
      <c r="C31" s="108">
        <f>IFERROR(INDEX(Minutes_by_use_case!$C$2:$C$9,MATCH($B31,Minutes_by_use_case!$A$2:$A$9,0)),"-")</f>
        <v>114879</v>
      </c>
      <c r="D31" s="108">
        <f>IFERROR(INDEX(Minutes_by_use_case!$C$2:$C$9,MATCH($B31,Minutes_by_use_case!$A$2:$A$9,0)),"-")</f>
        <v>114879</v>
      </c>
      <c r="E31" s="108">
        <f>IFERROR(INDEX(Minutes_by_use_case!$C$2:$C$9,MATCH($B31,Minutes_by_use_case!$A$2:$A$9,0)),"-")</f>
        <v>114879</v>
      </c>
      <c r="F31" s="108">
        <f>IFERROR(INDEX(Minutes_by_use_case!$C$2:$C$9,MATCH($B31,Minutes_by_use_case!$A$2:$A$9,0)),"-")</f>
        <v>114879</v>
      </c>
      <c r="G31" s="108">
        <f>IFERROR(INDEX(Minutes_by_use_case!$C$2:$C$9,MATCH($B31,Minutes_by_use_case!$A$2:$A$9,0)),"-")</f>
        <v>114879</v>
      </c>
      <c r="H31" s="108">
        <f>IFERROR(INDEX(Minutes_by_use_case!$C$2:$C$9,MATCH($B31,Minutes_by_use_case!$A$2:$A$9,0)),"-")</f>
        <v>114879</v>
      </c>
      <c r="I31" s="108">
        <f>IFERROR(INDEX(Minutes_by_use_case!$C$2:$C$9,MATCH($B31,Minutes_by_use_case!$A$2:$A$9,0)),"-")</f>
        <v>114879</v>
      </c>
      <c r="J31" s="108">
        <f>IFERROR(INDEX(Minutes_by_use_case!$C$2:$C$9,MATCH($B31,Minutes_by_use_case!$A$2:$A$9,0)),"-")</f>
        <v>114879</v>
      </c>
      <c r="K31" s="108">
        <f>IFERROR(INDEX(Minutes_by_use_case!$C$2:$C$9,MATCH($B31,Minutes_by_use_case!$A$2:$A$9,0)),"-")</f>
        <v>114879</v>
      </c>
      <c r="L31" s="108">
        <f>IFERROR(INDEX(Minutes_by_use_case!$C$2:$C$9,MATCH($B31,Minutes_by_use_case!$A$2:$A$9,0)),"-")</f>
        <v>114879</v>
      </c>
      <c r="M31" s="108">
        <f>IFERROR(INDEX(Minutes_by_use_case!$C$2:$C$9,MATCH($B31,Minutes_by_use_case!$A$2:$A$9,0)),"-")</f>
        <v>114879</v>
      </c>
      <c r="N31" s="108">
        <f>IFERROR(INDEX(Minutes_by_use_case!$C$2:$C$9,MATCH($B31,Minutes_by_use_case!$A$2:$A$9,0)),"-")</f>
        <v>114879</v>
      </c>
      <c r="O31" s="108">
        <f>IFERROR(INDEX(Minutes_by_use_case!$C$2:$C$9,MATCH($B31,Minutes_by_use_case!$A$2:$A$9,0)),"-")</f>
        <v>114879</v>
      </c>
      <c r="P31" s="108">
        <f>IFERROR(INDEX(Minutes_by_use_case!$C$2:$C$9,MATCH($B31,Minutes_by_use_case!$A$2:$A$9,0)),"-")</f>
        <v>114879</v>
      </c>
      <c r="Q31" s="108">
        <f>IFERROR(INDEX(Minutes_by_use_case!$C$2:$C$9,MATCH($B31,Minutes_by_use_case!$A$2:$A$9,0)),"-")</f>
        <v>114879</v>
      </c>
      <c r="R31" s="108">
        <f>IFERROR(INDEX(Minutes_by_use_case!$C$2:$C$9,MATCH($B31,Minutes_by_use_case!$A$2:$A$9,0)),"-")</f>
        <v>114879</v>
      </c>
      <c r="S31" s="108">
        <f>IFERROR(INDEX(Minutes_by_use_case!$C$2:$C$9,MATCH($B31,Minutes_by_use_case!$A$2:$A$9,0)),"-")</f>
        <v>114879</v>
      </c>
      <c r="T31" s="108">
        <f>IFERROR(INDEX(Minutes_by_use_case!$C$2:$C$9,MATCH($B31,Minutes_by_use_case!$A$2:$A$9,0)),"-")</f>
        <v>114879</v>
      </c>
      <c r="U31" s="108">
        <f>IFERROR(INDEX(Minutes_by_use_case!$C$2:$C$9,MATCH($B31,Minutes_by_use_case!$A$2:$A$9,0)),"-")</f>
        <v>114879</v>
      </c>
      <c r="V31" s="108">
        <f>IFERROR(INDEX(Minutes_by_use_case!$C$2:$C$9,MATCH($B31,Minutes_by_use_case!$A$2:$A$9,0)),"-")</f>
        <v>114879</v>
      </c>
    </row>
    <row r="32" spans="1:22" x14ac:dyDescent="0.25">
      <c r="A32" s="32" t="s">
        <v>31</v>
      </c>
      <c r="B32" s="32" t="s">
        <v>48</v>
      </c>
      <c r="C32" s="108" t="str">
        <f>IFERROR(INDEX(Minutes_by_use_case!$C$2:$C$9,MATCH($B32,Minutes_by_use_case!$A$2:$A$9,0)),"-")</f>
        <v>-</v>
      </c>
      <c r="D32" s="108" t="str">
        <f>IFERROR(INDEX(Minutes_by_use_case!$C$2:$C$9,MATCH($B32,Minutes_by_use_case!$A$2:$A$9,0)),"-")</f>
        <v>-</v>
      </c>
      <c r="E32" s="108" t="str">
        <f>IFERROR(INDEX(Minutes_by_use_case!$C$2:$C$9,MATCH($B32,Minutes_by_use_case!$A$2:$A$9,0)),"-")</f>
        <v>-</v>
      </c>
      <c r="F32" s="108" t="str">
        <f>IFERROR(INDEX(Minutes_by_use_case!$C$2:$C$9,MATCH($B32,Minutes_by_use_case!$A$2:$A$9,0)),"-")</f>
        <v>-</v>
      </c>
      <c r="G32" s="108" t="str">
        <f>IFERROR(INDEX(Minutes_by_use_case!$C$2:$C$9,MATCH($B32,Minutes_by_use_case!$A$2:$A$9,0)),"-")</f>
        <v>-</v>
      </c>
      <c r="H32" s="108" t="str">
        <f>IFERROR(INDEX(Minutes_by_use_case!$C$2:$C$9,MATCH($B32,Minutes_by_use_case!$A$2:$A$9,0)),"-")</f>
        <v>-</v>
      </c>
      <c r="I32" s="108" t="str">
        <f>IFERROR(INDEX(Minutes_by_use_case!$C$2:$C$9,MATCH($B32,Minutes_by_use_case!$A$2:$A$9,0)),"-")</f>
        <v>-</v>
      </c>
      <c r="J32" s="108" t="str">
        <f>IFERROR(INDEX(Minutes_by_use_case!$C$2:$C$9,MATCH($B32,Minutes_by_use_case!$A$2:$A$9,0)),"-")</f>
        <v>-</v>
      </c>
      <c r="K32" s="108" t="str">
        <f>IFERROR(INDEX(Minutes_by_use_case!$C$2:$C$9,MATCH($B32,Minutes_by_use_case!$A$2:$A$9,0)),"-")</f>
        <v>-</v>
      </c>
      <c r="L32" s="108" t="str">
        <f>IFERROR(INDEX(Minutes_by_use_case!$C$2:$C$9,MATCH($B32,Minutes_by_use_case!$A$2:$A$9,0)),"-")</f>
        <v>-</v>
      </c>
      <c r="M32" s="108" t="str">
        <f>IFERROR(INDEX(Minutes_by_use_case!$C$2:$C$9,MATCH($B32,Minutes_by_use_case!$A$2:$A$9,0)),"-")</f>
        <v>-</v>
      </c>
      <c r="N32" s="108" t="str">
        <f>IFERROR(INDEX(Minutes_by_use_case!$C$2:$C$9,MATCH($B32,Minutes_by_use_case!$A$2:$A$9,0)),"-")</f>
        <v>-</v>
      </c>
      <c r="O32" s="108" t="str">
        <f>IFERROR(INDEX(Minutes_by_use_case!$C$2:$C$9,MATCH($B32,Minutes_by_use_case!$A$2:$A$9,0)),"-")</f>
        <v>-</v>
      </c>
      <c r="P32" s="108" t="str">
        <f>IFERROR(INDEX(Minutes_by_use_case!$C$2:$C$9,MATCH($B32,Minutes_by_use_case!$A$2:$A$9,0)),"-")</f>
        <v>-</v>
      </c>
      <c r="Q32" s="108" t="str">
        <f>IFERROR(INDEX(Minutes_by_use_case!$C$2:$C$9,MATCH($B32,Minutes_by_use_case!$A$2:$A$9,0)),"-")</f>
        <v>-</v>
      </c>
      <c r="R32" s="108" t="str">
        <f>IFERROR(INDEX(Minutes_by_use_case!$C$2:$C$9,MATCH($B32,Minutes_by_use_case!$A$2:$A$9,0)),"-")</f>
        <v>-</v>
      </c>
      <c r="S32" s="108" t="str">
        <f>IFERROR(INDEX(Minutes_by_use_case!$C$2:$C$9,MATCH($B32,Minutes_by_use_case!$A$2:$A$9,0)),"-")</f>
        <v>-</v>
      </c>
      <c r="T32" s="108" t="str">
        <f>IFERROR(INDEX(Minutes_by_use_case!$C$2:$C$9,MATCH($B32,Minutes_by_use_case!$A$2:$A$9,0)),"-")</f>
        <v>-</v>
      </c>
      <c r="U32" s="108" t="str">
        <f>IFERROR(INDEX(Minutes_by_use_case!$C$2:$C$9,MATCH($B32,Minutes_by_use_case!$A$2:$A$9,0)),"-")</f>
        <v>-</v>
      </c>
      <c r="V32" s="108" t="str">
        <f>IFERROR(INDEX(Minutes_by_use_case!$C$2:$C$9,MATCH($B32,Minutes_by_use_case!$A$2:$A$9,0)),"-")</f>
        <v>-</v>
      </c>
    </row>
    <row r="33" spans="1:22" x14ac:dyDescent="0.25">
      <c r="A33" s="32" t="s">
        <v>32</v>
      </c>
      <c r="B33" s="32" t="s">
        <v>48</v>
      </c>
      <c r="C33" s="108" t="str">
        <f>IFERROR(INDEX(Minutes_by_use_case!$C$2:$C$9,MATCH($B33,Minutes_by_use_case!$A$2:$A$9,0)),"-")</f>
        <v>-</v>
      </c>
      <c r="D33" s="108" t="str">
        <f>IFERROR(INDEX(Minutes_by_use_case!$C$2:$C$9,MATCH($B33,Minutes_by_use_case!$A$2:$A$9,0)),"-")</f>
        <v>-</v>
      </c>
      <c r="E33" s="108" t="str">
        <f>IFERROR(INDEX(Minutes_by_use_case!$C$2:$C$9,MATCH($B33,Minutes_by_use_case!$A$2:$A$9,0)),"-")</f>
        <v>-</v>
      </c>
      <c r="F33" s="108" t="str">
        <f>IFERROR(INDEX(Minutes_by_use_case!$C$2:$C$9,MATCH($B33,Minutes_by_use_case!$A$2:$A$9,0)),"-")</f>
        <v>-</v>
      </c>
      <c r="G33" s="108" t="str">
        <f>IFERROR(INDEX(Minutes_by_use_case!$C$2:$C$9,MATCH($B33,Minutes_by_use_case!$A$2:$A$9,0)),"-")</f>
        <v>-</v>
      </c>
      <c r="H33" s="108" t="str">
        <f>IFERROR(INDEX(Minutes_by_use_case!$C$2:$C$9,MATCH($B33,Minutes_by_use_case!$A$2:$A$9,0)),"-")</f>
        <v>-</v>
      </c>
      <c r="I33" s="108" t="str">
        <f>IFERROR(INDEX(Minutes_by_use_case!$C$2:$C$9,MATCH($B33,Minutes_by_use_case!$A$2:$A$9,0)),"-")</f>
        <v>-</v>
      </c>
      <c r="J33" s="108" t="str">
        <f>IFERROR(INDEX(Minutes_by_use_case!$C$2:$C$9,MATCH($B33,Minutes_by_use_case!$A$2:$A$9,0)),"-")</f>
        <v>-</v>
      </c>
      <c r="K33" s="108" t="str">
        <f>IFERROR(INDEX(Minutes_by_use_case!$C$2:$C$9,MATCH($B33,Minutes_by_use_case!$A$2:$A$9,0)),"-")</f>
        <v>-</v>
      </c>
      <c r="L33" s="108" t="str">
        <f>IFERROR(INDEX(Minutes_by_use_case!$C$2:$C$9,MATCH($B33,Minutes_by_use_case!$A$2:$A$9,0)),"-")</f>
        <v>-</v>
      </c>
      <c r="M33" s="108" t="str">
        <f>IFERROR(INDEX(Minutes_by_use_case!$C$2:$C$9,MATCH($B33,Minutes_by_use_case!$A$2:$A$9,0)),"-")</f>
        <v>-</v>
      </c>
      <c r="N33" s="108" t="str">
        <f>IFERROR(INDEX(Minutes_by_use_case!$C$2:$C$9,MATCH($B33,Minutes_by_use_case!$A$2:$A$9,0)),"-")</f>
        <v>-</v>
      </c>
      <c r="O33" s="108" t="str">
        <f>IFERROR(INDEX(Minutes_by_use_case!$C$2:$C$9,MATCH($B33,Minutes_by_use_case!$A$2:$A$9,0)),"-")</f>
        <v>-</v>
      </c>
      <c r="P33" s="108" t="str">
        <f>IFERROR(INDEX(Minutes_by_use_case!$C$2:$C$9,MATCH($B33,Minutes_by_use_case!$A$2:$A$9,0)),"-")</f>
        <v>-</v>
      </c>
      <c r="Q33" s="108" t="str">
        <f>IFERROR(INDEX(Minutes_by_use_case!$C$2:$C$9,MATCH($B33,Minutes_by_use_case!$A$2:$A$9,0)),"-")</f>
        <v>-</v>
      </c>
      <c r="R33" s="108" t="str">
        <f>IFERROR(INDEX(Minutes_by_use_case!$C$2:$C$9,MATCH($B33,Minutes_by_use_case!$A$2:$A$9,0)),"-")</f>
        <v>-</v>
      </c>
      <c r="S33" s="108" t="str">
        <f>IFERROR(INDEX(Minutes_by_use_case!$C$2:$C$9,MATCH($B33,Minutes_by_use_case!$A$2:$A$9,0)),"-")</f>
        <v>-</v>
      </c>
      <c r="T33" s="108" t="str">
        <f>IFERROR(INDEX(Minutes_by_use_case!$C$2:$C$9,MATCH($B33,Minutes_by_use_case!$A$2:$A$9,0)),"-")</f>
        <v>-</v>
      </c>
      <c r="U33" s="108" t="str">
        <f>IFERROR(INDEX(Minutes_by_use_case!$C$2:$C$9,MATCH($B33,Minutes_by_use_case!$A$2:$A$9,0)),"-")</f>
        <v>-</v>
      </c>
      <c r="V33" s="108" t="str">
        <f>IFERROR(INDEX(Minutes_by_use_case!$C$2:$C$9,MATCH($B33,Minutes_by_use_case!$A$2:$A$9,0)),"-")</f>
        <v>-</v>
      </c>
    </row>
    <row r="34" spans="1:22" x14ac:dyDescent="0.25">
      <c r="A34" s="32" t="s">
        <v>33</v>
      </c>
      <c r="B34" s="32" t="s">
        <v>41</v>
      </c>
      <c r="C34" s="108">
        <f>IFERROR(INDEX(Minutes_by_use_case!$C$2:$C$9,MATCH($B34,Minutes_by_use_case!$A$2:$A$9,0)),"-")</f>
        <v>66700.388888888891</v>
      </c>
      <c r="D34" s="108">
        <f>IFERROR(INDEX(Minutes_by_use_case!$C$2:$C$9,MATCH($B34,Minutes_by_use_case!$A$2:$A$9,0)),"-")</f>
        <v>66700.388888888891</v>
      </c>
      <c r="E34" s="108">
        <f>IFERROR(INDEX(Minutes_by_use_case!$C$2:$C$9,MATCH($B34,Minutes_by_use_case!$A$2:$A$9,0)),"-")</f>
        <v>66700.388888888891</v>
      </c>
      <c r="F34" s="108">
        <f>IFERROR(INDEX(Minutes_by_use_case!$C$2:$C$9,MATCH($B34,Minutes_by_use_case!$A$2:$A$9,0)),"-")</f>
        <v>66700.388888888891</v>
      </c>
      <c r="G34" s="108">
        <f>IFERROR(INDEX(Minutes_by_use_case!$C$2:$C$9,MATCH($B34,Minutes_by_use_case!$A$2:$A$9,0)),"-")</f>
        <v>66700.388888888891</v>
      </c>
      <c r="H34" s="108">
        <f>IFERROR(INDEX(Minutes_by_use_case!$C$2:$C$9,MATCH($B34,Minutes_by_use_case!$A$2:$A$9,0)),"-")</f>
        <v>66700.388888888891</v>
      </c>
      <c r="I34" s="108">
        <f>IFERROR(INDEX(Minutes_by_use_case!$C$2:$C$9,MATCH($B34,Minutes_by_use_case!$A$2:$A$9,0)),"-")</f>
        <v>66700.388888888891</v>
      </c>
      <c r="J34" s="108">
        <f>IFERROR(INDEX(Minutes_by_use_case!$C$2:$C$9,MATCH($B34,Minutes_by_use_case!$A$2:$A$9,0)),"-")</f>
        <v>66700.388888888891</v>
      </c>
      <c r="K34" s="108">
        <f>IFERROR(INDEX(Minutes_by_use_case!$C$2:$C$9,MATCH($B34,Minutes_by_use_case!$A$2:$A$9,0)),"-")</f>
        <v>66700.388888888891</v>
      </c>
      <c r="L34" s="108">
        <f>IFERROR(INDEX(Minutes_by_use_case!$C$2:$C$9,MATCH($B34,Minutes_by_use_case!$A$2:$A$9,0)),"-")</f>
        <v>66700.388888888891</v>
      </c>
      <c r="M34" s="108">
        <f>IFERROR(INDEX(Minutes_by_use_case!$C$2:$C$9,MATCH($B34,Minutes_by_use_case!$A$2:$A$9,0)),"-")</f>
        <v>66700.388888888891</v>
      </c>
      <c r="N34" s="108">
        <f>IFERROR(INDEX(Minutes_by_use_case!$C$2:$C$9,MATCH($B34,Minutes_by_use_case!$A$2:$A$9,0)),"-")</f>
        <v>66700.388888888891</v>
      </c>
      <c r="O34" s="108">
        <f>IFERROR(INDEX(Minutes_by_use_case!$C$2:$C$9,MATCH($B34,Minutes_by_use_case!$A$2:$A$9,0)),"-")</f>
        <v>66700.388888888891</v>
      </c>
      <c r="P34" s="108">
        <f>IFERROR(INDEX(Minutes_by_use_case!$C$2:$C$9,MATCH($B34,Minutes_by_use_case!$A$2:$A$9,0)),"-")</f>
        <v>66700.388888888891</v>
      </c>
      <c r="Q34" s="108">
        <f>IFERROR(INDEX(Minutes_by_use_case!$C$2:$C$9,MATCH($B34,Minutes_by_use_case!$A$2:$A$9,0)),"-")</f>
        <v>66700.388888888891</v>
      </c>
      <c r="R34" s="108">
        <f>IFERROR(INDEX(Minutes_by_use_case!$C$2:$C$9,MATCH($B34,Minutes_by_use_case!$A$2:$A$9,0)),"-")</f>
        <v>66700.388888888891</v>
      </c>
      <c r="S34" s="108">
        <f>IFERROR(INDEX(Minutes_by_use_case!$C$2:$C$9,MATCH($B34,Minutes_by_use_case!$A$2:$A$9,0)),"-")</f>
        <v>66700.388888888891</v>
      </c>
      <c r="T34" s="108">
        <f>IFERROR(INDEX(Minutes_by_use_case!$C$2:$C$9,MATCH($B34,Minutes_by_use_case!$A$2:$A$9,0)),"-")</f>
        <v>66700.388888888891</v>
      </c>
      <c r="U34" s="108">
        <f>IFERROR(INDEX(Minutes_by_use_case!$C$2:$C$9,MATCH($B34,Minutes_by_use_case!$A$2:$A$9,0)),"-")</f>
        <v>66700.388888888891</v>
      </c>
      <c r="V34" s="108">
        <f>IFERROR(INDEX(Minutes_by_use_case!$C$2:$C$9,MATCH($B34,Minutes_by_use_case!$A$2:$A$9,0)),"-")</f>
        <v>66700.388888888891</v>
      </c>
    </row>
    <row r="35" spans="1:22" x14ac:dyDescent="0.25">
      <c r="A35" s="32" t="s">
        <v>34</v>
      </c>
      <c r="B35" s="32" t="s">
        <v>45</v>
      </c>
      <c r="C35" s="108">
        <f>IFERROR(INDEX(Minutes_by_use_case!$C$2:$C$9,MATCH($B35,Minutes_by_use_case!$A$2:$A$9,0)),"-")</f>
        <v>33739.333333333336</v>
      </c>
      <c r="D35" s="108">
        <f>IFERROR(INDEX(Minutes_by_use_case!$C$2:$C$9,MATCH($B35,Minutes_by_use_case!$A$2:$A$9,0)),"-")</f>
        <v>33739.333333333336</v>
      </c>
      <c r="E35" s="108">
        <f>IFERROR(INDEX(Minutes_by_use_case!$C$2:$C$9,MATCH($B35,Minutes_by_use_case!$A$2:$A$9,0)),"-")</f>
        <v>33739.333333333336</v>
      </c>
      <c r="F35" s="108">
        <f>IFERROR(INDEX(Minutes_by_use_case!$C$2:$C$9,MATCH($B35,Minutes_by_use_case!$A$2:$A$9,0)),"-")</f>
        <v>33739.333333333336</v>
      </c>
      <c r="G35" s="108">
        <f>IFERROR(INDEX(Minutes_by_use_case!$C$2:$C$9,MATCH($B35,Minutes_by_use_case!$A$2:$A$9,0)),"-")</f>
        <v>33739.333333333336</v>
      </c>
      <c r="H35" s="108">
        <f>IFERROR(INDEX(Minutes_by_use_case!$C$2:$C$9,MATCH($B35,Minutes_by_use_case!$A$2:$A$9,0)),"-")</f>
        <v>33739.333333333336</v>
      </c>
      <c r="I35" s="108">
        <f>IFERROR(INDEX(Minutes_by_use_case!$C$2:$C$9,MATCH($B35,Minutes_by_use_case!$A$2:$A$9,0)),"-")</f>
        <v>33739.333333333336</v>
      </c>
      <c r="J35" s="108">
        <f>IFERROR(INDEX(Minutes_by_use_case!$C$2:$C$9,MATCH($B35,Minutes_by_use_case!$A$2:$A$9,0)),"-")</f>
        <v>33739.333333333336</v>
      </c>
      <c r="K35" s="108">
        <f>IFERROR(INDEX(Minutes_by_use_case!$C$2:$C$9,MATCH($B35,Minutes_by_use_case!$A$2:$A$9,0)),"-")</f>
        <v>33739.333333333336</v>
      </c>
      <c r="L35" s="108">
        <f>IFERROR(INDEX(Minutes_by_use_case!$C$2:$C$9,MATCH($B35,Minutes_by_use_case!$A$2:$A$9,0)),"-")</f>
        <v>33739.333333333336</v>
      </c>
      <c r="M35" s="108">
        <f>IFERROR(INDEX(Minutes_by_use_case!$C$2:$C$9,MATCH($B35,Minutes_by_use_case!$A$2:$A$9,0)),"-")</f>
        <v>33739.333333333336</v>
      </c>
      <c r="N35" s="108">
        <f>IFERROR(INDEX(Minutes_by_use_case!$C$2:$C$9,MATCH($B35,Minutes_by_use_case!$A$2:$A$9,0)),"-")</f>
        <v>33739.333333333336</v>
      </c>
      <c r="O35" s="108">
        <f>IFERROR(INDEX(Minutes_by_use_case!$C$2:$C$9,MATCH($B35,Minutes_by_use_case!$A$2:$A$9,0)),"-")</f>
        <v>33739.333333333336</v>
      </c>
      <c r="P35" s="108">
        <f>IFERROR(INDEX(Minutes_by_use_case!$C$2:$C$9,MATCH($B35,Minutes_by_use_case!$A$2:$A$9,0)),"-")</f>
        <v>33739.333333333336</v>
      </c>
      <c r="Q35" s="108">
        <f>IFERROR(INDEX(Minutes_by_use_case!$C$2:$C$9,MATCH($B35,Minutes_by_use_case!$A$2:$A$9,0)),"-")</f>
        <v>33739.333333333336</v>
      </c>
      <c r="R35" s="108">
        <f>IFERROR(INDEX(Minutes_by_use_case!$C$2:$C$9,MATCH($B35,Minutes_by_use_case!$A$2:$A$9,0)),"-")</f>
        <v>33739.333333333336</v>
      </c>
      <c r="S35" s="108">
        <f>IFERROR(INDEX(Minutes_by_use_case!$C$2:$C$9,MATCH($B35,Minutes_by_use_case!$A$2:$A$9,0)),"-")</f>
        <v>33739.333333333336</v>
      </c>
      <c r="T35" s="108">
        <f>IFERROR(INDEX(Minutes_by_use_case!$C$2:$C$9,MATCH($B35,Minutes_by_use_case!$A$2:$A$9,0)),"-")</f>
        <v>33739.333333333336</v>
      </c>
      <c r="U35" s="108">
        <f>IFERROR(INDEX(Minutes_by_use_case!$C$2:$C$9,MATCH($B35,Minutes_by_use_case!$A$2:$A$9,0)),"-")</f>
        <v>33739.333333333336</v>
      </c>
      <c r="V35" s="108">
        <f>IFERROR(INDEX(Minutes_by_use_case!$C$2:$C$9,MATCH($B35,Minutes_by_use_case!$A$2:$A$9,0)),"-")</f>
        <v>33739.333333333336</v>
      </c>
    </row>
    <row r="36" spans="1:22" x14ac:dyDescent="0.25">
      <c r="A36" s="32" t="s">
        <v>63</v>
      </c>
      <c r="B36" s="32" t="s">
        <v>43</v>
      </c>
      <c r="C36" s="108">
        <f>IFERROR(INDEX(Minutes_by_use_case!$C$2:$C$9,MATCH($B36,Minutes_by_use_case!$A$2:$A$9,0)),"-")</f>
        <v>114879</v>
      </c>
      <c r="D36" s="108">
        <f>IFERROR(INDEX(Minutes_by_use_case!$C$2:$C$9,MATCH($B36,Minutes_by_use_case!$A$2:$A$9,0)),"-")</f>
        <v>114879</v>
      </c>
      <c r="E36" s="108">
        <f>IFERROR(INDEX(Minutes_by_use_case!$C$2:$C$9,MATCH($B36,Minutes_by_use_case!$A$2:$A$9,0)),"-")</f>
        <v>114879</v>
      </c>
      <c r="F36" s="108">
        <f>IFERROR(INDEX(Minutes_by_use_case!$C$2:$C$9,MATCH($B36,Minutes_by_use_case!$A$2:$A$9,0)),"-")</f>
        <v>114879</v>
      </c>
      <c r="G36" s="108">
        <f>IFERROR(INDEX(Minutes_by_use_case!$C$2:$C$9,MATCH($B36,Minutes_by_use_case!$A$2:$A$9,0)),"-")</f>
        <v>114879</v>
      </c>
      <c r="H36" s="108">
        <f>IFERROR(INDEX(Minutes_by_use_case!$C$2:$C$9,MATCH($B36,Minutes_by_use_case!$A$2:$A$9,0)),"-")</f>
        <v>114879</v>
      </c>
      <c r="I36" s="108">
        <f>IFERROR(INDEX(Minutes_by_use_case!$C$2:$C$9,MATCH($B36,Minutes_by_use_case!$A$2:$A$9,0)),"-")</f>
        <v>114879</v>
      </c>
      <c r="J36" s="108">
        <f>IFERROR(INDEX(Minutes_by_use_case!$C$2:$C$9,MATCH($B36,Minutes_by_use_case!$A$2:$A$9,0)),"-")</f>
        <v>114879</v>
      </c>
      <c r="K36" s="108">
        <f>IFERROR(INDEX(Minutes_by_use_case!$C$2:$C$9,MATCH($B36,Minutes_by_use_case!$A$2:$A$9,0)),"-")</f>
        <v>114879</v>
      </c>
      <c r="L36" s="108">
        <f>IFERROR(INDEX(Minutes_by_use_case!$C$2:$C$9,MATCH($B36,Minutes_by_use_case!$A$2:$A$9,0)),"-")</f>
        <v>114879</v>
      </c>
      <c r="M36" s="108">
        <f>IFERROR(INDEX(Minutes_by_use_case!$C$2:$C$9,MATCH($B36,Minutes_by_use_case!$A$2:$A$9,0)),"-")</f>
        <v>114879</v>
      </c>
      <c r="N36" s="108">
        <f>IFERROR(INDEX(Minutes_by_use_case!$C$2:$C$9,MATCH($B36,Minutes_by_use_case!$A$2:$A$9,0)),"-")</f>
        <v>114879</v>
      </c>
      <c r="O36" s="108">
        <f>IFERROR(INDEX(Minutes_by_use_case!$C$2:$C$9,MATCH($B36,Minutes_by_use_case!$A$2:$A$9,0)),"-")</f>
        <v>114879</v>
      </c>
      <c r="P36" s="108">
        <f>IFERROR(INDEX(Minutes_by_use_case!$C$2:$C$9,MATCH($B36,Minutes_by_use_case!$A$2:$A$9,0)),"-")</f>
        <v>114879</v>
      </c>
      <c r="Q36" s="108">
        <f>IFERROR(INDEX(Minutes_by_use_case!$C$2:$C$9,MATCH($B36,Minutes_by_use_case!$A$2:$A$9,0)),"-")</f>
        <v>114879</v>
      </c>
      <c r="R36" s="108">
        <f>IFERROR(INDEX(Minutes_by_use_case!$C$2:$C$9,MATCH($B36,Minutes_by_use_case!$A$2:$A$9,0)),"-")</f>
        <v>114879</v>
      </c>
      <c r="S36" s="108">
        <f>IFERROR(INDEX(Minutes_by_use_case!$C$2:$C$9,MATCH($B36,Minutes_by_use_case!$A$2:$A$9,0)),"-")</f>
        <v>114879</v>
      </c>
      <c r="T36" s="108">
        <f>IFERROR(INDEX(Minutes_by_use_case!$C$2:$C$9,MATCH($B36,Minutes_by_use_case!$A$2:$A$9,0)),"-")</f>
        <v>114879</v>
      </c>
      <c r="U36" s="108">
        <f>IFERROR(INDEX(Minutes_by_use_case!$C$2:$C$9,MATCH($B36,Minutes_by_use_case!$A$2:$A$9,0)),"-")</f>
        <v>114879</v>
      </c>
      <c r="V36" s="108">
        <f>IFERROR(INDEX(Minutes_by_use_case!$C$2:$C$9,MATCH($B36,Minutes_by_use_case!$A$2:$A$9,0)),"-")</f>
        <v>114879</v>
      </c>
    </row>
    <row r="37" spans="1:22" x14ac:dyDescent="0.25">
      <c r="A37" s="32" t="s">
        <v>64</v>
      </c>
      <c r="B37" s="32" t="s">
        <v>46</v>
      </c>
      <c r="C37" s="108" t="str">
        <f>IFERROR(INDEX(Minutes_by_use_case!$C$2:$C$9,MATCH($B37,Minutes_by_use_case!$A$2:$A$9,0)),"-")</f>
        <v>-</v>
      </c>
      <c r="D37" s="108" t="str">
        <f>IFERROR(INDEX(Minutes_by_use_case!$C$2:$C$9,MATCH($B37,Minutes_by_use_case!$A$2:$A$9,0)),"-")</f>
        <v>-</v>
      </c>
      <c r="E37" s="108" t="str">
        <f>IFERROR(INDEX(Minutes_by_use_case!$C$2:$C$9,MATCH($B37,Minutes_by_use_case!$A$2:$A$9,0)),"-")</f>
        <v>-</v>
      </c>
      <c r="F37" s="108" t="str">
        <f>IFERROR(INDEX(Minutes_by_use_case!$C$2:$C$9,MATCH($B37,Minutes_by_use_case!$A$2:$A$9,0)),"-")</f>
        <v>-</v>
      </c>
      <c r="G37" s="108" t="str">
        <f>IFERROR(INDEX(Minutes_by_use_case!$C$2:$C$9,MATCH($B37,Minutes_by_use_case!$A$2:$A$9,0)),"-")</f>
        <v>-</v>
      </c>
      <c r="H37" s="108" t="str">
        <f>IFERROR(INDEX(Minutes_by_use_case!$C$2:$C$9,MATCH($B37,Minutes_by_use_case!$A$2:$A$9,0)),"-")</f>
        <v>-</v>
      </c>
      <c r="I37" s="108" t="str">
        <f>IFERROR(INDEX(Minutes_by_use_case!$C$2:$C$9,MATCH($B37,Minutes_by_use_case!$A$2:$A$9,0)),"-")</f>
        <v>-</v>
      </c>
      <c r="J37" s="108" t="str">
        <f>IFERROR(INDEX(Minutes_by_use_case!$C$2:$C$9,MATCH($B37,Minutes_by_use_case!$A$2:$A$9,0)),"-")</f>
        <v>-</v>
      </c>
      <c r="K37" s="108" t="str">
        <f>IFERROR(INDEX(Minutes_by_use_case!$C$2:$C$9,MATCH($B37,Minutes_by_use_case!$A$2:$A$9,0)),"-")</f>
        <v>-</v>
      </c>
      <c r="L37" s="108" t="str">
        <f>IFERROR(INDEX(Minutes_by_use_case!$C$2:$C$9,MATCH($B37,Minutes_by_use_case!$A$2:$A$9,0)),"-")</f>
        <v>-</v>
      </c>
      <c r="M37" s="108" t="str">
        <f>IFERROR(INDEX(Minutes_by_use_case!$C$2:$C$9,MATCH($B37,Minutes_by_use_case!$A$2:$A$9,0)),"-")</f>
        <v>-</v>
      </c>
      <c r="N37" s="108" t="str">
        <f>IFERROR(INDEX(Minutes_by_use_case!$C$2:$C$9,MATCH($B37,Minutes_by_use_case!$A$2:$A$9,0)),"-")</f>
        <v>-</v>
      </c>
      <c r="O37" s="108" t="str">
        <f>IFERROR(INDEX(Minutes_by_use_case!$C$2:$C$9,MATCH($B37,Minutes_by_use_case!$A$2:$A$9,0)),"-")</f>
        <v>-</v>
      </c>
      <c r="P37" s="108" t="str">
        <f>IFERROR(INDEX(Minutes_by_use_case!$C$2:$C$9,MATCH($B37,Minutes_by_use_case!$A$2:$A$9,0)),"-")</f>
        <v>-</v>
      </c>
      <c r="Q37" s="108" t="str">
        <f>IFERROR(INDEX(Minutes_by_use_case!$C$2:$C$9,MATCH($B37,Minutes_by_use_case!$A$2:$A$9,0)),"-")</f>
        <v>-</v>
      </c>
      <c r="R37" s="108" t="str">
        <f>IFERROR(INDEX(Minutes_by_use_case!$C$2:$C$9,MATCH($B37,Minutes_by_use_case!$A$2:$A$9,0)),"-")</f>
        <v>-</v>
      </c>
      <c r="S37" s="108" t="str">
        <f>IFERROR(INDEX(Minutes_by_use_case!$C$2:$C$9,MATCH($B37,Minutes_by_use_case!$A$2:$A$9,0)),"-")</f>
        <v>-</v>
      </c>
      <c r="T37" s="108" t="str">
        <f>IFERROR(INDEX(Minutes_by_use_case!$C$2:$C$9,MATCH($B37,Minutes_by_use_case!$A$2:$A$9,0)),"-")</f>
        <v>-</v>
      </c>
      <c r="U37" s="108" t="str">
        <f>IFERROR(INDEX(Minutes_by_use_case!$C$2:$C$9,MATCH($B37,Minutes_by_use_case!$A$2:$A$9,0)),"-")</f>
        <v>-</v>
      </c>
      <c r="V37" s="108" t="str">
        <f>IFERROR(INDEX(Minutes_by_use_case!$C$2:$C$9,MATCH($B37,Minutes_by_use_case!$A$2:$A$9,0)),"-")</f>
        <v>-</v>
      </c>
    </row>
    <row r="38" spans="1:22" x14ac:dyDescent="0.25">
      <c r="A38" s="32" t="s">
        <v>65</v>
      </c>
      <c r="B38" s="32" t="s">
        <v>41</v>
      </c>
      <c r="C38" s="108">
        <f>IFERROR(INDEX(Minutes_by_use_case!$C$2:$C$9,MATCH($B38,Minutes_by_use_case!$A$2:$A$9,0)),"-")</f>
        <v>66700.388888888891</v>
      </c>
      <c r="D38" s="108">
        <f>IFERROR(INDEX(Minutes_by_use_case!$C$2:$C$9,MATCH($B38,Minutes_by_use_case!$A$2:$A$9,0)),"-")</f>
        <v>66700.388888888891</v>
      </c>
      <c r="E38" s="108">
        <f>IFERROR(INDEX(Minutes_by_use_case!$C$2:$C$9,MATCH($B38,Minutes_by_use_case!$A$2:$A$9,0)),"-")</f>
        <v>66700.388888888891</v>
      </c>
      <c r="F38" s="108">
        <f>IFERROR(INDEX(Minutes_by_use_case!$C$2:$C$9,MATCH($B38,Minutes_by_use_case!$A$2:$A$9,0)),"-")</f>
        <v>66700.388888888891</v>
      </c>
      <c r="G38" s="108">
        <f>IFERROR(INDEX(Minutes_by_use_case!$C$2:$C$9,MATCH($B38,Minutes_by_use_case!$A$2:$A$9,0)),"-")</f>
        <v>66700.388888888891</v>
      </c>
      <c r="H38" s="108">
        <f>IFERROR(INDEX(Minutes_by_use_case!$C$2:$C$9,MATCH($B38,Minutes_by_use_case!$A$2:$A$9,0)),"-")</f>
        <v>66700.388888888891</v>
      </c>
      <c r="I38" s="108">
        <f>IFERROR(INDEX(Minutes_by_use_case!$C$2:$C$9,MATCH($B38,Minutes_by_use_case!$A$2:$A$9,0)),"-")</f>
        <v>66700.388888888891</v>
      </c>
      <c r="J38" s="108">
        <f>IFERROR(INDEX(Minutes_by_use_case!$C$2:$C$9,MATCH($B38,Minutes_by_use_case!$A$2:$A$9,0)),"-")</f>
        <v>66700.388888888891</v>
      </c>
      <c r="K38" s="108">
        <f>IFERROR(INDEX(Minutes_by_use_case!$C$2:$C$9,MATCH($B38,Minutes_by_use_case!$A$2:$A$9,0)),"-")</f>
        <v>66700.388888888891</v>
      </c>
      <c r="L38" s="108">
        <f>IFERROR(INDEX(Minutes_by_use_case!$C$2:$C$9,MATCH($B38,Minutes_by_use_case!$A$2:$A$9,0)),"-")</f>
        <v>66700.388888888891</v>
      </c>
      <c r="M38" s="108">
        <f>IFERROR(INDEX(Minutes_by_use_case!$C$2:$C$9,MATCH($B38,Minutes_by_use_case!$A$2:$A$9,0)),"-")</f>
        <v>66700.388888888891</v>
      </c>
      <c r="N38" s="108">
        <f>IFERROR(INDEX(Minutes_by_use_case!$C$2:$C$9,MATCH($B38,Minutes_by_use_case!$A$2:$A$9,0)),"-")</f>
        <v>66700.388888888891</v>
      </c>
      <c r="O38" s="108">
        <f>IFERROR(INDEX(Minutes_by_use_case!$C$2:$C$9,MATCH($B38,Minutes_by_use_case!$A$2:$A$9,0)),"-")</f>
        <v>66700.388888888891</v>
      </c>
      <c r="P38" s="108">
        <f>IFERROR(INDEX(Minutes_by_use_case!$C$2:$C$9,MATCH($B38,Minutes_by_use_case!$A$2:$A$9,0)),"-")</f>
        <v>66700.388888888891</v>
      </c>
      <c r="Q38" s="108">
        <f>IFERROR(INDEX(Minutes_by_use_case!$C$2:$C$9,MATCH($B38,Minutes_by_use_case!$A$2:$A$9,0)),"-")</f>
        <v>66700.388888888891</v>
      </c>
      <c r="R38" s="108">
        <f>IFERROR(INDEX(Minutes_by_use_case!$C$2:$C$9,MATCH($B38,Minutes_by_use_case!$A$2:$A$9,0)),"-")</f>
        <v>66700.388888888891</v>
      </c>
      <c r="S38" s="108">
        <f>IFERROR(INDEX(Minutes_by_use_case!$C$2:$C$9,MATCH($B38,Minutes_by_use_case!$A$2:$A$9,0)),"-")</f>
        <v>66700.388888888891</v>
      </c>
      <c r="T38" s="108">
        <f>IFERROR(INDEX(Minutes_by_use_case!$C$2:$C$9,MATCH($B38,Minutes_by_use_case!$A$2:$A$9,0)),"-")</f>
        <v>66700.388888888891</v>
      </c>
      <c r="U38" s="108">
        <f>IFERROR(INDEX(Minutes_by_use_case!$C$2:$C$9,MATCH($B38,Minutes_by_use_case!$A$2:$A$9,0)),"-")</f>
        <v>66700.388888888891</v>
      </c>
      <c r="V38" s="108">
        <f>IFERROR(INDEX(Minutes_by_use_case!$C$2:$C$9,MATCH($B38,Minutes_by_use_case!$A$2:$A$9,0)),"-")</f>
        <v>66700.388888888891</v>
      </c>
    </row>
    <row r="39" spans="1:22" x14ac:dyDescent="0.25">
      <c r="A39" s="32" t="s">
        <v>35</v>
      </c>
      <c r="B39" s="32" t="s">
        <v>40</v>
      </c>
      <c r="C39" s="108">
        <f>IFERROR(INDEX(Minutes_by_use_case!$C$2:$C$9,MATCH($B39,Minutes_by_use_case!$A$2:$A$9,0)),"-")</f>
        <v>2364.2857142857142</v>
      </c>
      <c r="D39" s="108">
        <f>IFERROR(INDEX(Minutes_by_use_case!$C$2:$C$9,MATCH($B39,Minutes_by_use_case!$A$2:$A$9,0)),"-")</f>
        <v>2364.2857142857142</v>
      </c>
      <c r="E39" s="108">
        <f>IFERROR(INDEX(Minutes_by_use_case!$C$2:$C$9,MATCH($B39,Minutes_by_use_case!$A$2:$A$9,0)),"-")</f>
        <v>2364.2857142857142</v>
      </c>
      <c r="F39" s="108">
        <f>IFERROR(INDEX(Minutes_by_use_case!$C$2:$C$9,MATCH($B39,Minutes_by_use_case!$A$2:$A$9,0)),"-")</f>
        <v>2364.2857142857142</v>
      </c>
      <c r="G39" s="108">
        <f>IFERROR(INDEX(Minutes_by_use_case!$C$2:$C$9,MATCH($B39,Minutes_by_use_case!$A$2:$A$9,0)),"-")</f>
        <v>2364.2857142857142</v>
      </c>
      <c r="H39" s="108">
        <f>IFERROR(INDEX(Minutes_by_use_case!$C$2:$C$9,MATCH($B39,Minutes_by_use_case!$A$2:$A$9,0)),"-")</f>
        <v>2364.2857142857142</v>
      </c>
      <c r="I39" s="108">
        <f>IFERROR(INDEX(Minutes_by_use_case!$C$2:$C$9,MATCH($B39,Minutes_by_use_case!$A$2:$A$9,0)),"-")</f>
        <v>2364.2857142857142</v>
      </c>
      <c r="J39" s="108">
        <f>IFERROR(INDEX(Minutes_by_use_case!$C$2:$C$9,MATCH($B39,Minutes_by_use_case!$A$2:$A$9,0)),"-")</f>
        <v>2364.2857142857142</v>
      </c>
      <c r="K39" s="108">
        <f>IFERROR(INDEX(Minutes_by_use_case!$C$2:$C$9,MATCH($B39,Minutes_by_use_case!$A$2:$A$9,0)),"-")</f>
        <v>2364.2857142857142</v>
      </c>
      <c r="L39" s="108">
        <f>IFERROR(INDEX(Minutes_by_use_case!$C$2:$C$9,MATCH($B39,Minutes_by_use_case!$A$2:$A$9,0)),"-")</f>
        <v>2364.2857142857142</v>
      </c>
      <c r="M39" s="108">
        <f>IFERROR(INDEX(Minutes_by_use_case!$C$2:$C$9,MATCH($B39,Minutes_by_use_case!$A$2:$A$9,0)),"-")</f>
        <v>2364.2857142857142</v>
      </c>
      <c r="N39" s="108">
        <f>IFERROR(INDEX(Minutes_by_use_case!$C$2:$C$9,MATCH($B39,Minutes_by_use_case!$A$2:$A$9,0)),"-")</f>
        <v>2364.2857142857142</v>
      </c>
      <c r="O39" s="108">
        <f>IFERROR(INDEX(Minutes_by_use_case!$C$2:$C$9,MATCH($B39,Minutes_by_use_case!$A$2:$A$9,0)),"-")</f>
        <v>2364.2857142857142</v>
      </c>
      <c r="P39" s="108">
        <f>IFERROR(INDEX(Minutes_by_use_case!$C$2:$C$9,MATCH($B39,Minutes_by_use_case!$A$2:$A$9,0)),"-")</f>
        <v>2364.2857142857142</v>
      </c>
      <c r="Q39" s="108">
        <f>IFERROR(INDEX(Minutes_by_use_case!$C$2:$C$9,MATCH($B39,Minutes_by_use_case!$A$2:$A$9,0)),"-")</f>
        <v>2364.2857142857142</v>
      </c>
      <c r="R39" s="108">
        <f>IFERROR(INDEX(Minutes_by_use_case!$C$2:$C$9,MATCH($B39,Minutes_by_use_case!$A$2:$A$9,0)),"-")</f>
        <v>2364.2857142857142</v>
      </c>
      <c r="S39" s="108">
        <f>IFERROR(INDEX(Minutes_by_use_case!$C$2:$C$9,MATCH($B39,Minutes_by_use_case!$A$2:$A$9,0)),"-")</f>
        <v>2364.2857142857142</v>
      </c>
      <c r="T39" s="108">
        <f>IFERROR(INDEX(Minutes_by_use_case!$C$2:$C$9,MATCH($B39,Minutes_by_use_case!$A$2:$A$9,0)),"-")</f>
        <v>2364.2857142857142</v>
      </c>
      <c r="U39" s="108">
        <f>IFERROR(INDEX(Minutes_by_use_case!$C$2:$C$9,MATCH($B39,Minutes_by_use_case!$A$2:$A$9,0)),"-")</f>
        <v>2364.2857142857142</v>
      </c>
      <c r="V39" s="108">
        <f>IFERROR(INDEX(Minutes_by_use_case!$C$2:$C$9,MATCH($B39,Minutes_by_use_case!$A$2:$A$9,0)),"-")</f>
        <v>2364.2857142857142</v>
      </c>
    </row>
    <row r="40" spans="1:22" x14ac:dyDescent="0.25">
      <c r="A40" s="32" t="s">
        <v>36</v>
      </c>
      <c r="B40" s="32" t="s">
        <v>40</v>
      </c>
      <c r="C40" s="108">
        <f>IFERROR(INDEX(Minutes_by_use_case!$C$2:$C$9,MATCH($B40,Minutes_by_use_case!$A$2:$A$9,0)),"-")</f>
        <v>2364.2857142857142</v>
      </c>
      <c r="D40" s="108">
        <f>IFERROR(INDEX(Minutes_by_use_case!$C$2:$C$9,MATCH($B40,Minutes_by_use_case!$A$2:$A$9,0)),"-")</f>
        <v>2364.2857142857142</v>
      </c>
      <c r="E40" s="108">
        <f>IFERROR(INDEX(Minutes_by_use_case!$C$2:$C$9,MATCH($B40,Minutes_by_use_case!$A$2:$A$9,0)),"-")</f>
        <v>2364.2857142857142</v>
      </c>
      <c r="F40" s="108">
        <f>IFERROR(INDEX(Minutes_by_use_case!$C$2:$C$9,MATCH($B40,Minutes_by_use_case!$A$2:$A$9,0)),"-")</f>
        <v>2364.2857142857142</v>
      </c>
      <c r="G40" s="108">
        <f>IFERROR(INDEX(Minutes_by_use_case!$C$2:$C$9,MATCH($B40,Minutes_by_use_case!$A$2:$A$9,0)),"-")</f>
        <v>2364.2857142857142</v>
      </c>
      <c r="H40" s="108">
        <f>IFERROR(INDEX(Minutes_by_use_case!$C$2:$C$9,MATCH($B40,Minutes_by_use_case!$A$2:$A$9,0)),"-")</f>
        <v>2364.2857142857142</v>
      </c>
      <c r="I40" s="108">
        <f>IFERROR(INDEX(Minutes_by_use_case!$C$2:$C$9,MATCH($B40,Minutes_by_use_case!$A$2:$A$9,0)),"-")</f>
        <v>2364.2857142857142</v>
      </c>
      <c r="J40" s="108">
        <f>IFERROR(INDEX(Minutes_by_use_case!$C$2:$C$9,MATCH($B40,Minutes_by_use_case!$A$2:$A$9,0)),"-")</f>
        <v>2364.2857142857142</v>
      </c>
      <c r="K40" s="108">
        <f>IFERROR(INDEX(Minutes_by_use_case!$C$2:$C$9,MATCH($B40,Minutes_by_use_case!$A$2:$A$9,0)),"-")</f>
        <v>2364.2857142857142</v>
      </c>
      <c r="L40" s="108">
        <f>IFERROR(INDEX(Minutes_by_use_case!$C$2:$C$9,MATCH($B40,Minutes_by_use_case!$A$2:$A$9,0)),"-")</f>
        <v>2364.2857142857142</v>
      </c>
      <c r="M40" s="108">
        <f>IFERROR(INDEX(Minutes_by_use_case!$C$2:$C$9,MATCH($B40,Minutes_by_use_case!$A$2:$A$9,0)),"-")</f>
        <v>2364.2857142857142</v>
      </c>
      <c r="N40" s="108">
        <f>IFERROR(INDEX(Minutes_by_use_case!$C$2:$C$9,MATCH($B40,Minutes_by_use_case!$A$2:$A$9,0)),"-")</f>
        <v>2364.2857142857142</v>
      </c>
      <c r="O40" s="108">
        <f>IFERROR(INDEX(Minutes_by_use_case!$C$2:$C$9,MATCH($B40,Minutes_by_use_case!$A$2:$A$9,0)),"-")</f>
        <v>2364.2857142857142</v>
      </c>
      <c r="P40" s="108">
        <f>IFERROR(INDEX(Minutes_by_use_case!$C$2:$C$9,MATCH($B40,Minutes_by_use_case!$A$2:$A$9,0)),"-")</f>
        <v>2364.2857142857142</v>
      </c>
      <c r="Q40" s="108">
        <f>IFERROR(INDEX(Minutes_by_use_case!$C$2:$C$9,MATCH($B40,Minutes_by_use_case!$A$2:$A$9,0)),"-")</f>
        <v>2364.2857142857142</v>
      </c>
      <c r="R40" s="108">
        <f>IFERROR(INDEX(Minutes_by_use_case!$C$2:$C$9,MATCH($B40,Minutes_by_use_case!$A$2:$A$9,0)),"-")</f>
        <v>2364.2857142857142</v>
      </c>
      <c r="S40" s="108">
        <f>IFERROR(INDEX(Minutes_by_use_case!$C$2:$C$9,MATCH($B40,Minutes_by_use_case!$A$2:$A$9,0)),"-")</f>
        <v>2364.2857142857142</v>
      </c>
      <c r="T40" s="108">
        <f>IFERROR(INDEX(Minutes_by_use_case!$C$2:$C$9,MATCH($B40,Minutes_by_use_case!$A$2:$A$9,0)),"-")</f>
        <v>2364.2857142857142</v>
      </c>
      <c r="U40" s="108">
        <f>IFERROR(INDEX(Minutes_by_use_case!$C$2:$C$9,MATCH($B40,Minutes_by_use_case!$A$2:$A$9,0)),"-")</f>
        <v>2364.2857142857142</v>
      </c>
      <c r="V40" s="108">
        <f>IFERROR(INDEX(Minutes_by_use_case!$C$2:$C$9,MATCH($B40,Minutes_by_use_case!$A$2:$A$9,0)),"-")</f>
        <v>2364.2857142857142</v>
      </c>
    </row>
    <row r="41" spans="1:22" x14ac:dyDescent="0.25">
      <c r="A41" s="32" t="s">
        <v>37</v>
      </c>
      <c r="B41" s="32" t="s">
        <v>40</v>
      </c>
      <c r="C41" s="108">
        <f>IFERROR(INDEX(Minutes_by_use_case!$C$2:$C$9,MATCH($B41,Minutes_by_use_case!$A$2:$A$9,0)),"-")</f>
        <v>2364.2857142857142</v>
      </c>
      <c r="D41" s="108">
        <f>IFERROR(INDEX(Minutes_by_use_case!$C$2:$C$9,MATCH($B41,Minutes_by_use_case!$A$2:$A$9,0)),"-")</f>
        <v>2364.2857142857142</v>
      </c>
      <c r="E41" s="108">
        <f>IFERROR(INDEX(Minutes_by_use_case!$C$2:$C$9,MATCH($B41,Minutes_by_use_case!$A$2:$A$9,0)),"-")</f>
        <v>2364.2857142857142</v>
      </c>
      <c r="F41" s="108">
        <f>IFERROR(INDEX(Minutes_by_use_case!$C$2:$C$9,MATCH($B41,Minutes_by_use_case!$A$2:$A$9,0)),"-")</f>
        <v>2364.2857142857142</v>
      </c>
      <c r="G41" s="108">
        <f>IFERROR(INDEX(Minutes_by_use_case!$C$2:$C$9,MATCH($B41,Minutes_by_use_case!$A$2:$A$9,0)),"-")</f>
        <v>2364.2857142857142</v>
      </c>
      <c r="H41" s="108">
        <f>IFERROR(INDEX(Minutes_by_use_case!$C$2:$C$9,MATCH($B41,Minutes_by_use_case!$A$2:$A$9,0)),"-")</f>
        <v>2364.2857142857142</v>
      </c>
      <c r="I41" s="108">
        <f>IFERROR(INDEX(Minutes_by_use_case!$C$2:$C$9,MATCH($B41,Minutes_by_use_case!$A$2:$A$9,0)),"-")</f>
        <v>2364.2857142857142</v>
      </c>
      <c r="J41" s="108">
        <f>IFERROR(INDEX(Minutes_by_use_case!$C$2:$C$9,MATCH($B41,Minutes_by_use_case!$A$2:$A$9,0)),"-")</f>
        <v>2364.2857142857142</v>
      </c>
      <c r="K41" s="108">
        <f>IFERROR(INDEX(Minutes_by_use_case!$C$2:$C$9,MATCH($B41,Minutes_by_use_case!$A$2:$A$9,0)),"-")</f>
        <v>2364.2857142857142</v>
      </c>
      <c r="L41" s="108">
        <f>IFERROR(INDEX(Minutes_by_use_case!$C$2:$C$9,MATCH($B41,Minutes_by_use_case!$A$2:$A$9,0)),"-")</f>
        <v>2364.2857142857142</v>
      </c>
      <c r="M41" s="108">
        <f>IFERROR(INDEX(Minutes_by_use_case!$C$2:$C$9,MATCH($B41,Minutes_by_use_case!$A$2:$A$9,0)),"-")</f>
        <v>2364.2857142857142</v>
      </c>
      <c r="N41" s="108">
        <f>IFERROR(INDEX(Minutes_by_use_case!$C$2:$C$9,MATCH($B41,Minutes_by_use_case!$A$2:$A$9,0)),"-")</f>
        <v>2364.2857142857142</v>
      </c>
      <c r="O41" s="108">
        <f>IFERROR(INDEX(Minutes_by_use_case!$C$2:$C$9,MATCH($B41,Minutes_by_use_case!$A$2:$A$9,0)),"-")</f>
        <v>2364.2857142857142</v>
      </c>
      <c r="P41" s="108">
        <f>IFERROR(INDEX(Minutes_by_use_case!$C$2:$C$9,MATCH($B41,Minutes_by_use_case!$A$2:$A$9,0)),"-")</f>
        <v>2364.2857142857142</v>
      </c>
      <c r="Q41" s="108">
        <f>IFERROR(INDEX(Minutes_by_use_case!$C$2:$C$9,MATCH($B41,Minutes_by_use_case!$A$2:$A$9,0)),"-")</f>
        <v>2364.2857142857142</v>
      </c>
      <c r="R41" s="108">
        <f>IFERROR(INDEX(Minutes_by_use_case!$C$2:$C$9,MATCH($B41,Minutes_by_use_case!$A$2:$A$9,0)),"-")</f>
        <v>2364.2857142857142</v>
      </c>
      <c r="S41" s="108">
        <f>IFERROR(INDEX(Minutes_by_use_case!$C$2:$C$9,MATCH($B41,Minutes_by_use_case!$A$2:$A$9,0)),"-")</f>
        <v>2364.2857142857142</v>
      </c>
      <c r="T41" s="108">
        <f>IFERROR(INDEX(Minutes_by_use_case!$C$2:$C$9,MATCH($B41,Minutes_by_use_case!$A$2:$A$9,0)),"-")</f>
        <v>2364.2857142857142</v>
      </c>
      <c r="U41" s="108">
        <f>IFERROR(INDEX(Minutes_by_use_case!$C$2:$C$9,MATCH($B41,Minutes_by_use_case!$A$2:$A$9,0)),"-")</f>
        <v>2364.2857142857142</v>
      </c>
      <c r="V41" s="108">
        <f>IFERROR(INDEX(Minutes_by_use_case!$C$2:$C$9,MATCH($B41,Minutes_by_use_case!$A$2:$A$9,0)),"-")</f>
        <v>2364.2857142857142</v>
      </c>
    </row>
    <row r="42" spans="1:22" x14ac:dyDescent="0.25">
      <c r="A42" s="32" t="s">
        <v>38</v>
      </c>
      <c r="B42" s="32" t="s">
        <v>41</v>
      </c>
      <c r="C42" s="108">
        <f>IFERROR(INDEX(Minutes_by_use_case!$C$2:$C$9,MATCH($B42,Minutes_by_use_case!$A$2:$A$9,0)),"-")</f>
        <v>66700.388888888891</v>
      </c>
      <c r="D42" s="108">
        <f>IFERROR(INDEX(Minutes_by_use_case!$C$2:$C$9,MATCH($B42,Minutes_by_use_case!$A$2:$A$9,0)),"-")</f>
        <v>66700.388888888891</v>
      </c>
      <c r="E42" s="108">
        <f>IFERROR(INDEX(Minutes_by_use_case!$C$2:$C$9,MATCH($B42,Minutes_by_use_case!$A$2:$A$9,0)),"-")</f>
        <v>66700.388888888891</v>
      </c>
      <c r="F42" s="108">
        <f>IFERROR(INDEX(Minutes_by_use_case!$C$2:$C$9,MATCH($B42,Minutes_by_use_case!$A$2:$A$9,0)),"-")</f>
        <v>66700.388888888891</v>
      </c>
      <c r="G42" s="108">
        <f>IFERROR(INDEX(Minutes_by_use_case!$C$2:$C$9,MATCH($B42,Minutes_by_use_case!$A$2:$A$9,0)),"-")</f>
        <v>66700.388888888891</v>
      </c>
      <c r="H42" s="108">
        <f>IFERROR(INDEX(Minutes_by_use_case!$C$2:$C$9,MATCH($B42,Minutes_by_use_case!$A$2:$A$9,0)),"-")</f>
        <v>66700.388888888891</v>
      </c>
      <c r="I42" s="108">
        <f>IFERROR(INDEX(Minutes_by_use_case!$C$2:$C$9,MATCH($B42,Minutes_by_use_case!$A$2:$A$9,0)),"-")</f>
        <v>66700.388888888891</v>
      </c>
      <c r="J42" s="108">
        <f>IFERROR(INDEX(Minutes_by_use_case!$C$2:$C$9,MATCH($B42,Minutes_by_use_case!$A$2:$A$9,0)),"-")</f>
        <v>66700.388888888891</v>
      </c>
      <c r="K42" s="108">
        <f>IFERROR(INDEX(Minutes_by_use_case!$C$2:$C$9,MATCH($B42,Minutes_by_use_case!$A$2:$A$9,0)),"-")</f>
        <v>66700.388888888891</v>
      </c>
      <c r="L42" s="108">
        <f>IFERROR(INDEX(Minutes_by_use_case!$C$2:$C$9,MATCH($B42,Minutes_by_use_case!$A$2:$A$9,0)),"-")</f>
        <v>66700.388888888891</v>
      </c>
      <c r="M42" s="108">
        <f>IFERROR(INDEX(Minutes_by_use_case!$C$2:$C$9,MATCH($B42,Minutes_by_use_case!$A$2:$A$9,0)),"-")</f>
        <v>66700.388888888891</v>
      </c>
      <c r="N42" s="108">
        <f>IFERROR(INDEX(Minutes_by_use_case!$C$2:$C$9,MATCH($B42,Minutes_by_use_case!$A$2:$A$9,0)),"-")</f>
        <v>66700.388888888891</v>
      </c>
      <c r="O42" s="108">
        <f>IFERROR(INDEX(Minutes_by_use_case!$C$2:$C$9,MATCH($B42,Minutes_by_use_case!$A$2:$A$9,0)),"-")</f>
        <v>66700.388888888891</v>
      </c>
      <c r="P42" s="108">
        <f>IFERROR(INDEX(Minutes_by_use_case!$C$2:$C$9,MATCH($B42,Minutes_by_use_case!$A$2:$A$9,0)),"-")</f>
        <v>66700.388888888891</v>
      </c>
      <c r="Q42" s="108">
        <f>IFERROR(INDEX(Minutes_by_use_case!$C$2:$C$9,MATCH($B42,Minutes_by_use_case!$A$2:$A$9,0)),"-")</f>
        <v>66700.388888888891</v>
      </c>
      <c r="R42" s="108">
        <f>IFERROR(INDEX(Minutes_by_use_case!$C$2:$C$9,MATCH($B42,Minutes_by_use_case!$A$2:$A$9,0)),"-")</f>
        <v>66700.388888888891</v>
      </c>
      <c r="S42" s="108">
        <f>IFERROR(INDEX(Minutes_by_use_case!$C$2:$C$9,MATCH($B42,Minutes_by_use_case!$A$2:$A$9,0)),"-")</f>
        <v>66700.388888888891</v>
      </c>
      <c r="T42" s="108">
        <f>IFERROR(INDEX(Minutes_by_use_case!$C$2:$C$9,MATCH($B42,Minutes_by_use_case!$A$2:$A$9,0)),"-")</f>
        <v>66700.388888888891</v>
      </c>
      <c r="U42" s="108">
        <f>IFERROR(INDEX(Minutes_by_use_case!$C$2:$C$9,MATCH($B42,Minutes_by_use_case!$A$2:$A$9,0)),"-")</f>
        <v>66700.388888888891</v>
      </c>
      <c r="V42" s="108">
        <f>IFERROR(INDEX(Minutes_by_use_case!$C$2:$C$9,MATCH($B42,Minutes_by_use_case!$A$2:$A$9,0)),"-")</f>
        <v>66700.388888888891</v>
      </c>
    </row>
    <row r="43" spans="1:22" x14ac:dyDescent="0.25">
      <c r="A43" s="32" t="s">
        <v>39</v>
      </c>
      <c r="B43" s="32" t="s">
        <v>41</v>
      </c>
      <c r="C43" s="108">
        <f>IFERROR(INDEX(Minutes_by_use_case!$C$2:$C$9,MATCH($B43,Minutes_by_use_case!$A$2:$A$9,0)),"-")</f>
        <v>66700.388888888891</v>
      </c>
      <c r="D43" s="108">
        <f>IFERROR(INDEX(Minutes_by_use_case!$C$2:$C$9,MATCH($B43,Minutes_by_use_case!$A$2:$A$9,0)),"-")</f>
        <v>66700.388888888891</v>
      </c>
      <c r="E43" s="108">
        <f>IFERROR(INDEX(Minutes_by_use_case!$C$2:$C$9,MATCH($B43,Minutes_by_use_case!$A$2:$A$9,0)),"-")</f>
        <v>66700.388888888891</v>
      </c>
      <c r="F43" s="108">
        <f>IFERROR(INDEX(Minutes_by_use_case!$C$2:$C$9,MATCH($B43,Minutes_by_use_case!$A$2:$A$9,0)),"-")</f>
        <v>66700.388888888891</v>
      </c>
      <c r="G43" s="108">
        <f>IFERROR(INDEX(Minutes_by_use_case!$C$2:$C$9,MATCH($B43,Minutes_by_use_case!$A$2:$A$9,0)),"-")</f>
        <v>66700.388888888891</v>
      </c>
      <c r="H43" s="108">
        <f>IFERROR(INDEX(Minutes_by_use_case!$C$2:$C$9,MATCH($B43,Minutes_by_use_case!$A$2:$A$9,0)),"-")</f>
        <v>66700.388888888891</v>
      </c>
      <c r="I43" s="108">
        <f>IFERROR(INDEX(Minutes_by_use_case!$C$2:$C$9,MATCH($B43,Minutes_by_use_case!$A$2:$A$9,0)),"-")</f>
        <v>66700.388888888891</v>
      </c>
      <c r="J43" s="108">
        <f>IFERROR(INDEX(Minutes_by_use_case!$C$2:$C$9,MATCH($B43,Minutes_by_use_case!$A$2:$A$9,0)),"-")</f>
        <v>66700.388888888891</v>
      </c>
      <c r="K43" s="108">
        <f>IFERROR(INDEX(Minutes_by_use_case!$C$2:$C$9,MATCH($B43,Minutes_by_use_case!$A$2:$A$9,0)),"-")</f>
        <v>66700.388888888891</v>
      </c>
      <c r="L43" s="108">
        <f>IFERROR(INDEX(Minutes_by_use_case!$C$2:$C$9,MATCH($B43,Minutes_by_use_case!$A$2:$A$9,0)),"-")</f>
        <v>66700.388888888891</v>
      </c>
      <c r="M43" s="108">
        <f>IFERROR(INDEX(Minutes_by_use_case!$C$2:$C$9,MATCH($B43,Minutes_by_use_case!$A$2:$A$9,0)),"-")</f>
        <v>66700.388888888891</v>
      </c>
      <c r="N43" s="108">
        <f>IFERROR(INDEX(Minutes_by_use_case!$C$2:$C$9,MATCH($B43,Minutes_by_use_case!$A$2:$A$9,0)),"-")</f>
        <v>66700.388888888891</v>
      </c>
      <c r="O43" s="108">
        <f>IFERROR(INDEX(Minutes_by_use_case!$C$2:$C$9,MATCH($B43,Minutes_by_use_case!$A$2:$A$9,0)),"-")</f>
        <v>66700.388888888891</v>
      </c>
      <c r="P43" s="108">
        <f>IFERROR(INDEX(Minutes_by_use_case!$C$2:$C$9,MATCH($B43,Minutes_by_use_case!$A$2:$A$9,0)),"-")</f>
        <v>66700.388888888891</v>
      </c>
      <c r="Q43" s="108">
        <f>IFERROR(INDEX(Minutes_by_use_case!$C$2:$C$9,MATCH($B43,Minutes_by_use_case!$A$2:$A$9,0)),"-")</f>
        <v>66700.388888888891</v>
      </c>
      <c r="R43" s="108">
        <f>IFERROR(INDEX(Minutes_by_use_case!$C$2:$C$9,MATCH($B43,Minutes_by_use_case!$A$2:$A$9,0)),"-")</f>
        <v>66700.388888888891</v>
      </c>
      <c r="S43" s="108">
        <f>IFERROR(INDEX(Minutes_by_use_case!$C$2:$C$9,MATCH($B43,Minutes_by_use_case!$A$2:$A$9,0)),"-")</f>
        <v>66700.388888888891</v>
      </c>
      <c r="T43" s="108">
        <f>IFERROR(INDEX(Minutes_by_use_case!$C$2:$C$9,MATCH($B43,Minutes_by_use_case!$A$2:$A$9,0)),"-")</f>
        <v>66700.388888888891</v>
      </c>
      <c r="U43" s="108">
        <f>IFERROR(INDEX(Minutes_by_use_case!$C$2:$C$9,MATCH($B43,Minutes_by_use_case!$A$2:$A$9,0)),"-")</f>
        <v>66700.388888888891</v>
      </c>
      <c r="V43" s="108">
        <f>IFERROR(INDEX(Minutes_by_use_case!$C$2:$C$9,MATCH($B43,Minutes_by_use_case!$A$2:$A$9,0)),"-")</f>
        <v>66700.388888888891</v>
      </c>
    </row>
    <row r="44" spans="1:22" x14ac:dyDescent="0.25">
      <c r="A44" s="91" t="s">
        <v>88</v>
      </c>
      <c r="B44" s="23" t="s">
        <v>43</v>
      </c>
      <c r="C44" s="108">
        <f>Minutes_by_use_case!$C2</f>
        <v>114879</v>
      </c>
      <c r="D44" s="108">
        <f>Minutes_by_use_case!$C2</f>
        <v>114879</v>
      </c>
      <c r="E44" s="108">
        <f>Minutes_by_use_case!$C2</f>
        <v>114879</v>
      </c>
      <c r="F44" s="108">
        <f>Minutes_by_use_case!$C2</f>
        <v>114879</v>
      </c>
      <c r="G44" s="108">
        <f>Minutes_by_use_case!$C2</f>
        <v>114879</v>
      </c>
      <c r="H44" s="108">
        <f>Minutes_by_use_case!$C2</f>
        <v>114879</v>
      </c>
      <c r="I44" s="108">
        <f>Minutes_by_use_case!$C2</f>
        <v>114879</v>
      </c>
      <c r="J44" s="108">
        <f>Minutes_by_use_case!$C2</f>
        <v>114879</v>
      </c>
      <c r="K44" s="108">
        <f>Minutes_by_use_case!$C2</f>
        <v>114879</v>
      </c>
      <c r="L44" s="108">
        <f>Minutes_by_use_case!$C2</f>
        <v>114879</v>
      </c>
      <c r="M44" s="108">
        <f>Minutes_by_use_case!$C2</f>
        <v>114879</v>
      </c>
      <c r="N44" s="108">
        <f>Minutes_by_use_case!$C2</f>
        <v>114879</v>
      </c>
      <c r="O44" s="108">
        <f>Minutes_by_use_case!$C2</f>
        <v>114879</v>
      </c>
      <c r="P44" s="108">
        <f>Minutes_by_use_case!$C2</f>
        <v>114879</v>
      </c>
      <c r="Q44" s="108">
        <f>Minutes_by_use_case!$C2</f>
        <v>114879</v>
      </c>
      <c r="R44" s="108">
        <f>Minutes_by_use_case!$C2</f>
        <v>114879</v>
      </c>
      <c r="S44" s="108">
        <f>Minutes_by_use_case!$C2</f>
        <v>114879</v>
      </c>
      <c r="T44" s="108">
        <f>Minutes_by_use_case!$C2</f>
        <v>114879</v>
      </c>
      <c r="U44" s="108">
        <f>Minutes_by_use_case!$C2</f>
        <v>114879</v>
      </c>
      <c r="V44" s="108">
        <f>Minutes_by_use_case!$C2</f>
        <v>114879</v>
      </c>
    </row>
    <row r="45" spans="1:22" x14ac:dyDescent="0.25">
      <c r="A45" s="91" t="s">
        <v>88</v>
      </c>
      <c r="B45" s="23" t="s">
        <v>41</v>
      </c>
      <c r="C45" s="108">
        <f>Minutes_by_use_case!$C3</f>
        <v>66700.388888888891</v>
      </c>
      <c r="D45" s="108">
        <f>Minutes_by_use_case!$C3</f>
        <v>66700.388888888891</v>
      </c>
      <c r="E45" s="108">
        <f>Minutes_by_use_case!$C3</f>
        <v>66700.388888888891</v>
      </c>
      <c r="F45" s="108">
        <f>Minutes_by_use_case!$C3</f>
        <v>66700.388888888891</v>
      </c>
      <c r="G45" s="108">
        <f>Minutes_by_use_case!$C3</f>
        <v>66700.388888888891</v>
      </c>
      <c r="H45" s="108">
        <f>Minutes_by_use_case!$C3</f>
        <v>66700.388888888891</v>
      </c>
      <c r="I45" s="108">
        <f>Minutes_by_use_case!$C3</f>
        <v>66700.388888888891</v>
      </c>
      <c r="J45" s="108">
        <f>Minutes_by_use_case!$C3</f>
        <v>66700.388888888891</v>
      </c>
      <c r="K45" s="108">
        <f>Minutes_by_use_case!$C3</f>
        <v>66700.388888888891</v>
      </c>
      <c r="L45" s="108">
        <f>Minutes_by_use_case!$C3</f>
        <v>66700.388888888891</v>
      </c>
      <c r="M45" s="108">
        <f>Minutes_by_use_case!$C3</f>
        <v>66700.388888888891</v>
      </c>
      <c r="N45" s="108">
        <f>Minutes_by_use_case!$C3</f>
        <v>66700.388888888891</v>
      </c>
      <c r="O45" s="108">
        <f>Minutes_by_use_case!$C3</f>
        <v>66700.388888888891</v>
      </c>
      <c r="P45" s="108">
        <f>Minutes_by_use_case!$C3</f>
        <v>66700.388888888891</v>
      </c>
      <c r="Q45" s="108">
        <f>Minutes_by_use_case!$C3</f>
        <v>66700.388888888891</v>
      </c>
      <c r="R45" s="108">
        <f>Minutes_by_use_case!$C3</f>
        <v>66700.388888888891</v>
      </c>
      <c r="S45" s="108">
        <f>Minutes_by_use_case!$C3</f>
        <v>66700.388888888891</v>
      </c>
      <c r="T45" s="108">
        <f>Minutes_by_use_case!$C3</f>
        <v>66700.388888888891</v>
      </c>
      <c r="U45" s="108">
        <f>Minutes_by_use_case!$C3</f>
        <v>66700.388888888891</v>
      </c>
      <c r="V45" s="108">
        <f>Minutes_by_use_case!$C3</f>
        <v>66700.388888888891</v>
      </c>
    </row>
    <row r="46" spans="1:22" x14ac:dyDescent="0.25">
      <c r="A46" s="91" t="s">
        <v>88</v>
      </c>
      <c r="B46" s="23" t="s">
        <v>40</v>
      </c>
      <c r="C46" s="108">
        <f>Minutes_by_use_case!$C4</f>
        <v>2364.2857142857142</v>
      </c>
      <c r="D46" s="108">
        <f>Minutes_by_use_case!$C4</f>
        <v>2364.2857142857142</v>
      </c>
      <c r="E46" s="108">
        <f>Minutes_by_use_case!$C4</f>
        <v>2364.2857142857142</v>
      </c>
      <c r="F46" s="108">
        <f>Minutes_by_use_case!$C4</f>
        <v>2364.2857142857142</v>
      </c>
      <c r="G46" s="108">
        <f>Minutes_by_use_case!$C4</f>
        <v>2364.2857142857142</v>
      </c>
      <c r="H46" s="108">
        <f>Minutes_by_use_case!$C4</f>
        <v>2364.2857142857142</v>
      </c>
      <c r="I46" s="108">
        <f>Minutes_by_use_case!$C4</f>
        <v>2364.2857142857142</v>
      </c>
      <c r="J46" s="108">
        <f>Minutes_by_use_case!$C4</f>
        <v>2364.2857142857142</v>
      </c>
      <c r="K46" s="108">
        <f>Minutes_by_use_case!$C4</f>
        <v>2364.2857142857142</v>
      </c>
      <c r="L46" s="108">
        <f>Minutes_by_use_case!$C4</f>
        <v>2364.2857142857142</v>
      </c>
      <c r="M46" s="108">
        <f>Minutes_by_use_case!$C4</f>
        <v>2364.2857142857142</v>
      </c>
      <c r="N46" s="108">
        <f>Minutes_by_use_case!$C4</f>
        <v>2364.2857142857142</v>
      </c>
      <c r="O46" s="108">
        <f>Minutes_by_use_case!$C4</f>
        <v>2364.2857142857142</v>
      </c>
      <c r="P46" s="108">
        <f>Minutes_by_use_case!$C4</f>
        <v>2364.2857142857142</v>
      </c>
      <c r="Q46" s="108">
        <f>Minutes_by_use_case!$C4</f>
        <v>2364.2857142857142</v>
      </c>
      <c r="R46" s="108">
        <f>Minutes_by_use_case!$C4</f>
        <v>2364.2857142857142</v>
      </c>
      <c r="S46" s="108">
        <f>Minutes_by_use_case!$C4</f>
        <v>2364.2857142857142</v>
      </c>
      <c r="T46" s="108">
        <f>Minutes_by_use_case!$C4</f>
        <v>2364.2857142857142</v>
      </c>
      <c r="U46" s="108">
        <f>Minutes_by_use_case!$C4</f>
        <v>2364.2857142857142</v>
      </c>
      <c r="V46" s="108">
        <f>Minutes_by_use_case!$C4</f>
        <v>2364.2857142857142</v>
      </c>
    </row>
    <row r="47" spans="1:22" x14ac:dyDescent="0.25">
      <c r="A47" s="91" t="s">
        <v>88</v>
      </c>
      <c r="B47" s="23" t="s">
        <v>80</v>
      </c>
      <c r="C47" s="108" t="str">
        <f>Minutes_by_use_case!$C5</f>
        <v>-</v>
      </c>
      <c r="D47" s="108" t="str">
        <f>Minutes_by_use_case!$C5</f>
        <v>-</v>
      </c>
      <c r="E47" s="108" t="str">
        <f>Minutes_by_use_case!$C5</f>
        <v>-</v>
      </c>
      <c r="F47" s="108" t="str">
        <f>Minutes_by_use_case!$C5</f>
        <v>-</v>
      </c>
      <c r="G47" s="108" t="str">
        <f>Minutes_by_use_case!$C5</f>
        <v>-</v>
      </c>
      <c r="H47" s="108" t="str">
        <f>Minutes_by_use_case!$C5</f>
        <v>-</v>
      </c>
      <c r="I47" s="108" t="str">
        <f>Minutes_by_use_case!$C5</f>
        <v>-</v>
      </c>
      <c r="J47" s="108" t="str">
        <f>Minutes_by_use_case!$C5</f>
        <v>-</v>
      </c>
      <c r="K47" s="108" t="str">
        <f>Minutes_by_use_case!$C5</f>
        <v>-</v>
      </c>
      <c r="L47" s="108" t="str">
        <f>Minutes_by_use_case!$C5</f>
        <v>-</v>
      </c>
      <c r="M47" s="108" t="str">
        <f>Minutes_by_use_case!$C5</f>
        <v>-</v>
      </c>
      <c r="N47" s="108" t="str">
        <f>Minutes_by_use_case!$C5</f>
        <v>-</v>
      </c>
      <c r="O47" s="108" t="str">
        <f>Minutes_by_use_case!$C5</f>
        <v>-</v>
      </c>
      <c r="P47" s="108" t="str">
        <f>Minutes_by_use_case!$C5</f>
        <v>-</v>
      </c>
      <c r="Q47" s="108" t="str">
        <f>Minutes_by_use_case!$C5</f>
        <v>-</v>
      </c>
      <c r="R47" s="108" t="str">
        <f>Minutes_by_use_case!$C5</f>
        <v>-</v>
      </c>
      <c r="S47" s="108" t="str">
        <f>Minutes_by_use_case!$C5</f>
        <v>-</v>
      </c>
      <c r="T47" s="108" t="str">
        <f>Minutes_by_use_case!$C5</f>
        <v>-</v>
      </c>
      <c r="U47" s="108" t="str">
        <f>Minutes_by_use_case!$C5</f>
        <v>-</v>
      </c>
      <c r="V47" s="108" t="str">
        <f>Minutes_by_use_case!$C5</f>
        <v>-</v>
      </c>
    </row>
    <row r="48" spans="1:22" x14ac:dyDescent="0.25">
      <c r="A48" s="91" t="s">
        <v>88</v>
      </c>
      <c r="B48" s="23" t="s">
        <v>44</v>
      </c>
      <c r="C48" s="108">
        <f>Minutes_by_use_case!$C6</f>
        <v>460.5</v>
      </c>
      <c r="D48" s="108">
        <f>Minutes_by_use_case!$C6</f>
        <v>460.5</v>
      </c>
      <c r="E48" s="108">
        <f>Minutes_by_use_case!$C6</f>
        <v>460.5</v>
      </c>
      <c r="F48" s="108">
        <f>Minutes_by_use_case!$C6</f>
        <v>460.5</v>
      </c>
      <c r="G48" s="108">
        <f>Minutes_by_use_case!$C6</f>
        <v>460.5</v>
      </c>
      <c r="H48" s="108">
        <f>Minutes_by_use_case!$C6</f>
        <v>460.5</v>
      </c>
      <c r="I48" s="108">
        <f>Minutes_by_use_case!$C6</f>
        <v>460.5</v>
      </c>
      <c r="J48" s="108">
        <f>Minutes_by_use_case!$C6</f>
        <v>460.5</v>
      </c>
      <c r="K48" s="108">
        <f>Minutes_by_use_case!$C6</f>
        <v>460.5</v>
      </c>
      <c r="L48" s="108">
        <f>Minutes_by_use_case!$C6</f>
        <v>460.5</v>
      </c>
      <c r="M48" s="108">
        <f>Minutes_by_use_case!$C6</f>
        <v>460.5</v>
      </c>
      <c r="N48" s="108">
        <f>Minutes_by_use_case!$C6</f>
        <v>460.5</v>
      </c>
      <c r="O48" s="108">
        <f>Minutes_by_use_case!$C6</f>
        <v>460.5</v>
      </c>
      <c r="P48" s="108">
        <f>Minutes_by_use_case!$C6</f>
        <v>460.5</v>
      </c>
      <c r="Q48" s="108">
        <f>Minutes_by_use_case!$C6</f>
        <v>460.5</v>
      </c>
      <c r="R48" s="108">
        <f>Minutes_by_use_case!$C6</f>
        <v>460.5</v>
      </c>
      <c r="S48" s="108">
        <f>Minutes_by_use_case!$C6</f>
        <v>460.5</v>
      </c>
      <c r="T48" s="108">
        <f>Minutes_by_use_case!$C6</f>
        <v>460.5</v>
      </c>
      <c r="U48" s="108">
        <f>Minutes_by_use_case!$C6</f>
        <v>460.5</v>
      </c>
      <c r="V48" s="108">
        <f>Minutes_by_use_case!$C6</f>
        <v>460.5</v>
      </c>
    </row>
    <row r="49" spans="1:22" x14ac:dyDescent="0.25">
      <c r="A49" s="91" t="s">
        <v>88</v>
      </c>
      <c r="B49" s="23" t="s">
        <v>81</v>
      </c>
      <c r="C49" s="108" t="str">
        <f>Minutes_by_use_case!$C7</f>
        <v>-</v>
      </c>
      <c r="D49" s="108" t="str">
        <f>Minutes_by_use_case!$C7</f>
        <v>-</v>
      </c>
      <c r="E49" s="108" t="str">
        <f>Minutes_by_use_case!$C7</f>
        <v>-</v>
      </c>
      <c r="F49" s="108" t="str">
        <f>Minutes_by_use_case!$C7</f>
        <v>-</v>
      </c>
      <c r="G49" s="108" t="str">
        <f>Minutes_by_use_case!$C7</f>
        <v>-</v>
      </c>
      <c r="H49" s="108" t="str">
        <f>Minutes_by_use_case!$C7</f>
        <v>-</v>
      </c>
      <c r="I49" s="108" t="str">
        <f>Minutes_by_use_case!$C7</f>
        <v>-</v>
      </c>
      <c r="J49" s="108" t="str">
        <f>Minutes_by_use_case!$C7</f>
        <v>-</v>
      </c>
      <c r="K49" s="108" t="str">
        <f>Minutes_by_use_case!$C7</f>
        <v>-</v>
      </c>
      <c r="L49" s="108" t="str">
        <f>Minutes_by_use_case!$C7</f>
        <v>-</v>
      </c>
      <c r="M49" s="108" t="str">
        <f>Minutes_by_use_case!$C7</f>
        <v>-</v>
      </c>
      <c r="N49" s="108" t="str">
        <f>Minutes_by_use_case!$C7</f>
        <v>-</v>
      </c>
      <c r="O49" s="108" t="str">
        <f>Minutes_by_use_case!$C7</f>
        <v>-</v>
      </c>
      <c r="P49" s="108" t="str">
        <f>Minutes_by_use_case!$C7</f>
        <v>-</v>
      </c>
      <c r="Q49" s="108" t="str">
        <f>Minutes_by_use_case!$C7</f>
        <v>-</v>
      </c>
      <c r="R49" s="108" t="str">
        <f>Minutes_by_use_case!$C7</f>
        <v>-</v>
      </c>
      <c r="S49" s="108" t="str">
        <f>Minutes_by_use_case!$C7</f>
        <v>-</v>
      </c>
      <c r="T49" s="108" t="str">
        <f>Minutes_by_use_case!$C7</f>
        <v>-</v>
      </c>
      <c r="U49" s="108" t="str">
        <f>Minutes_by_use_case!$C7</f>
        <v>-</v>
      </c>
      <c r="V49" s="108" t="str">
        <f>Minutes_by_use_case!$C7</f>
        <v>-</v>
      </c>
    </row>
    <row r="50" spans="1:22" x14ac:dyDescent="0.25">
      <c r="A50" s="91" t="s">
        <v>88</v>
      </c>
      <c r="B50" s="23" t="s">
        <v>42</v>
      </c>
      <c r="C50" s="108">
        <f>Minutes_by_use_case!$C8</f>
        <v>2294</v>
      </c>
      <c r="D50" s="108">
        <f>Minutes_by_use_case!$C8</f>
        <v>2294</v>
      </c>
      <c r="E50" s="108">
        <f>Minutes_by_use_case!$C8</f>
        <v>2294</v>
      </c>
      <c r="F50" s="108">
        <f>Minutes_by_use_case!$C8</f>
        <v>2294</v>
      </c>
      <c r="G50" s="108">
        <f>Minutes_by_use_case!$C8</f>
        <v>2294</v>
      </c>
      <c r="H50" s="108">
        <f>Minutes_by_use_case!$C8</f>
        <v>2294</v>
      </c>
      <c r="I50" s="108">
        <f>Minutes_by_use_case!$C8</f>
        <v>2294</v>
      </c>
      <c r="J50" s="108">
        <f>Minutes_by_use_case!$C8</f>
        <v>2294</v>
      </c>
      <c r="K50" s="108">
        <f>Minutes_by_use_case!$C8</f>
        <v>2294</v>
      </c>
      <c r="L50" s="108">
        <f>Minutes_by_use_case!$C8</f>
        <v>2294</v>
      </c>
      <c r="M50" s="108">
        <f>Minutes_by_use_case!$C8</f>
        <v>2294</v>
      </c>
      <c r="N50" s="108">
        <f>Minutes_by_use_case!$C8</f>
        <v>2294</v>
      </c>
      <c r="O50" s="108">
        <f>Minutes_by_use_case!$C8</f>
        <v>2294</v>
      </c>
      <c r="P50" s="108">
        <f>Minutes_by_use_case!$C8</f>
        <v>2294</v>
      </c>
      <c r="Q50" s="108">
        <f>Minutes_by_use_case!$C8</f>
        <v>2294</v>
      </c>
      <c r="R50" s="108">
        <f>Minutes_by_use_case!$C8</f>
        <v>2294</v>
      </c>
      <c r="S50" s="108">
        <f>Minutes_by_use_case!$C8</f>
        <v>2294</v>
      </c>
      <c r="T50" s="108">
        <f>Minutes_by_use_case!$C8</f>
        <v>2294</v>
      </c>
      <c r="U50" s="108">
        <f>Minutes_by_use_case!$C8</f>
        <v>2294</v>
      </c>
      <c r="V50" s="108">
        <f>Minutes_by_use_case!$C8</f>
        <v>2294</v>
      </c>
    </row>
    <row r="51" spans="1:22" x14ac:dyDescent="0.25">
      <c r="A51" s="91" t="s">
        <v>88</v>
      </c>
      <c r="B51" s="23" t="s">
        <v>45</v>
      </c>
      <c r="C51" s="108">
        <f>Minutes_by_use_case!$C9</f>
        <v>33739.333333333336</v>
      </c>
      <c r="D51" s="108">
        <f>Minutes_by_use_case!$C9</f>
        <v>33739.333333333336</v>
      </c>
      <c r="E51" s="108">
        <f>Minutes_by_use_case!$C9</f>
        <v>33739.333333333336</v>
      </c>
      <c r="F51" s="108">
        <f>Minutes_by_use_case!$C9</f>
        <v>33739.333333333336</v>
      </c>
      <c r="G51" s="108">
        <f>Minutes_by_use_case!$C9</f>
        <v>33739.333333333336</v>
      </c>
      <c r="H51" s="108">
        <f>Minutes_by_use_case!$C9</f>
        <v>33739.333333333336</v>
      </c>
      <c r="I51" s="108">
        <f>Minutes_by_use_case!$C9</f>
        <v>33739.333333333336</v>
      </c>
      <c r="J51" s="108">
        <f>Minutes_by_use_case!$C9</f>
        <v>33739.333333333336</v>
      </c>
      <c r="K51" s="108">
        <f>Minutes_by_use_case!$C9</f>
        <v>33739.333333333336</v>
      </c>
      <c r="L51" s="108">
        <f>Minutes_by_use_case!$C9</f>
        <v>33739.333333333336</v>
      </c>
      <c r="M51" s="108">
        <f>Minutes_by_use_case!$C9</f>
        <v>33739.333333333336</v>
      </c>
      <c r="N51" s="108">
        <f>Minutes_by_use_case!$C9</f>
        <v>33739.333333333336</v>
      </c>
      <c r="O51" s="108">
        <f>Minutes_by_use_case!$C9</f>
        <v>33739.333333333336</v>
      </c>
      <c r="P51" s="108">
        <f>Minutes_by_use_case!$C9</f>
        <v>33739.333333333336</v>
      </c>
      <c r="Q51" s="108">
        <f>Minutes_by_use_case!$C9</f>
        <v>33739.333333333336</v>
      </c>
      <c r="R51" s="108">
        <f>Minutes_by_use_case!$C9</f>
        <v>33739.333333333336</v>
      </c>
      <c r="S51" s="108">
        <f>Minutes_by_use_case!$C9</f>
        <v>33739.333333333336</v>
      </c>
      <c r="T51" s="108">
        <f>Minutes_by_use_case!$C9</f>
        <v>33739.333333333336</v>
      </c>
      <c r="U51" s="108">
        <f>Minutes_by_use_case!$C9</f>
        <v>33739.333333333336</v>
      </c>
      <c r="V51" s="108">
        <f>Minutes_by_use_case!$C9</f>
        <v>33739.333333333336</v>
      </c>
    </row>
    <row r="53" spans="1:22" ht="14.4" x14ac:dyDescent="0.3">
      <c r="A53" s="112" t="s">
        <v>143</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57FEAF-8872-4B85-A96F-20913412F09E}">
  <sheetPr>
    <tabColor rgb="FF0B3D91"/>
  </sheetPr>
  <dimension ref="A1:W220"/>
  <sheetViews>
    <sheetView zoomScaleNormal="100" workbookViewId="0">
      <selection activeCell="D24" sqref="D24"/>
    </sheetView>
  </sheetViews>
  <sheetFormatPr defaultRowHeight="13.8" x14ac:dyDescent="0.25"/>
  <cols>
    <col min="1" max="1" width="19.6640625" style="2" customWidth="1"/>
    <col min="2" max="2" width="50.5546875" style="2" customWidth="1"/>
    <col min="3" max="22" width="13.5546875" style="85" bestFit="1" customWidth="1"/>
    <col min="23" max="23" width="13.21875" style="2" bestFit="1" customWidth="1"/>
    <col min="24" max="16384" width="8.88671875" style="2"/>
  </cols>
  <sheetData>
    <row r="1" spans="1:23" x14ac:dyDescent="0.25">
      <c r="A1" s="79" t="s">
        <v>16</v>
      </c>
      <c r="B1" s="79" t="s">
        <v>82</v>
      </c>
      <c r="C1" s="78">
        <v>2021</v>
      </c>
      <c r="D1" s="79">
        <v>2022</v>
      </c>
      <c r="E1" s="78">
        <v>2023</v>
      </c>
      <c r="F1" s="79">
        <v>2024</v>
      </c>
      <c r="G1" s="78">
        <v>2025</v>
      </c>
      <c r="H1" s="79">
        <v>2026</v>
      </c>
      <c r="I1" s="78">
        <v>2027</v>
      </c>
      <c r="J1" s="79">
        <v>2028</v>
      </c>
      <c r="K1" s="78">
        <v>2029</v>
      </c>
      <c r="L1" s="79">
        <v>2030</v>
      </c>
      <c r="M1" s="78">
        <v>2031</v>
      </c>
      <c r="N1" s="79">
        <v>2032</v>
      </c>
      <c r="O1" s="78">
        <v>2033</v>
      </c>
      <c r="P1" s="79">
        <v>2034</v>
      </c>
      <c r="Q1" s="78">
        <v>2035</v>
      </c>
      <c r="R1" s="79">
        <v>2036</v>
      </c>
      <c r="S1" s="78">
        <v>2037</v>
      </c>
      <c r="T1" s="79">
        <v>2038</v>
      </c>
      <c r="U1" s="78">
        <v>2039</v>
      </c>
      <c r="V1" s="79">
        <v>2040</v>
      </c>
    </row>
    <row r="2" spans="1:23" x14ac:dyDescent="0.25">
      <c r="A2" s="32" t="s">
        <v>17</v>
      </c>
      <c r="B2" s="32" t="s">
        <v>41</v>
      </c>
      <c r="C2" s="108">
        <f>IFERROR(INDEX(lifespans_all!C$2:C$56,MATCH($A2,lifespans_all!$A$2:$A$56,0))*INDEX(SR_mission_minutes!C$2:C$43,MATCH($A2,SR_mission_minutes!$A$2:$A$43)),"-")</f>
        <v>66700.388888888891</v>
      </c>
      <c r="D2" s="108">
        <f>IFERROR(INDEX(lifespans_all!D$2:D$56,MATCH($A2,lifespans_all!$A$2:$A$56,0))*INDEX(SR_mission_minutes!D$2:D$43,MATCH($A2,SR_mission_minutes!$A$2:$A$43)),"-")</f>
        <v>66700.388888888891</v>
      </c>
      <c r="E2" s="108">
        <f>IFERROR(INDEX(lifespans_all!E$2:E$56,MATCH($A2,lifespans_all!$A$2:$A$56,0))*INDEX(SR_mission_minutes!E$2:E$43,MATCH($A2,SR_mission_minutes!$A$2:$A$43)),"-")</f>
        <v>66700.388888888891</v>
      </c>
      <c r="F2" s="108">
        <f>IFERROR(INDEX(lifespans_all!F$2:F$56,MATCH($A2,lifespans_all!$A$2:$A$56,0))*INDEX(SR_mission_minutes!F$2:F$43,MATCH($A2,SR_mission_minutes!$A$2:$A$43)),"-")</f>
        <v>66700.388888888891</v>
      </c>
      <c r="G2" s="108">
        <f>IFERROR(INDEX(lifespans_all!G$2:G$56,MATCH($A2,lifespans_all!$A$2:$A$56,0))*INDEX(SR_mission_minutes!G$2:G$43,MATCH($A2,SR_mission_minutes!$A$2:$A$43)),"-")</f>
        <v>0</v>
      </c>
      <c r="H2" s="108">
        <f>IFERROR(INDEX(lifespans_all!H$2:H$56,MATCH($A2,lifespans_all!$A$2:$A$56,0))*INDEX(SR_mission_minutes!H$2:H$43,MATCH($A2,SR_mission_minutes!$A$2:$A$43)),"-")</f>
        <v>0</v>
      </c>
      <c r="I2" s="108">
        <f>IFERROR(INDEX(lifespans_all!I$2:I$56,MATCH($A2,lifespans_all!$A$2:$A$56,0))*INDEX(SR_mission_minutes!I$2:I$43,MATCH($A2,SR_mission_minutes!$A$2:$A$43)),"-")</f>
        <v>0</v>
      </c>
      <c r="J2" s="108">
        <f>IFERROR(INDEX(lifespans_all!J$2:J$56,MATCH($A2,lifespans_all!$A$2:$A$56,0))*INDEX(SR_mission_minutes!J$2:J$43,MATCH($A2,SR_mission_minutes!$A$2:$A$43)),"-")</f>
        <v>0</v>
      </c>
      <c r="K2" s="108">
        <f>IFERROR(INDEX(lifespans_all!K$2:K$56,MATCH($A2,lifespans_all!$A$2:$A$56,0))*INDEX(SR_mission_minutes!K$2:K$43,MATCH($A2,SR_mission_minutes!$A$2:$A$43)),"-")</f>
        <v>0</v>
      </c>
      <c r="L2" s="108">
        <f>IFERROR(INDEX(lifespans_all!L$2:L$56,MATCH($A2,lifespans_all!$A$2:$A$56,0))*INDEX(SR_mission_minutes!L$2:L$43,MATCH($A2,SR_mission_minutes!$A$2:$A$43)),"-")</f>
        <v>0</v>
      </c>
      <c r="M2" s="108">
        <f>IFERROR(INDEX(lifespans_all!M$2:M$56,MATCH($A2,lifespans_all!$A$2:$A$56,0))*INDEX(SR_mission_minutes!M$2:M$43,MATCH($A2,SR_mission_minutes!$A$2:$A$43)),"-")</f>
        <v>0</v>
      </c>
      <c r="N2" s="108">
        <f>IFERROR(INDEX(lifespans_all!N$2:N$56,MATCH($A2,lifespans_all!$A$2:$A$56,0))*INDEX(SR_mission_minutes!N$2:N$43,MATCH($A2,SR_mission_minutes!$A$2:$A$43)),"-")</f>
        <v>0</v>
      </c>
      <c r="O2" s="108">
        <f>IFERROR(INDEX(lifespans_all!O$2:O$56,MATCH($A2,lifespans_all!$A$2:$A$56,0))*INDEX(SR_mission_minutes!O$2:O$43,MATCH($A2,SR_mission_minutes!$A$2:$A$43)),"-")</f>
        <v>0</v>
      </c>
      <c r="P2" s="108">
        <f>IFERROR(INDEX(lifespans_all!P$2:P$56,MATCH($A2,lifespans_all!$A$2:$A$56,0))*INDEX(SR_mission_minutes!P$2:P$43,MATCH($A2,SR_mission_minutes!$A$2:$A$43)),"-")</f>
        <v>0</v>
      </c>
      <c r="Q2" s="108">
        <f>IFERROR(INDEX(lifespans_all!Q$2:Q$56,MATCH($A2,lifespans_all!$A$2:$A$56,0))*INDEX(SR_mission_minutes!Q$2:Q$43,MATCH($A2,SR_mission_minutes!$A$2:$A$43)),"-")</f>
        <v>0</v>
      </c>
      <c r="R2" s="108">
        <f>IFERROR(INDEX(lifespans_all!R$2:R$56,MATCH($A2,lifespans_all!$A$2:$A$56,0))*INDEX(SR_mission_minutes!R$2:R$43,MATCH($A2,SR_mission_minutes!$A$2:$A$43)),"-")</f>
        <v>0</v>
      </c>
      <c r="S2" s="108">
        <f>IFERROR(INDEX(lifespans_all!S$2:S$56,MATCH($A2,lifespans_all!$A$2:$A$56,0))*INDEX(SR_mission_minutes!S$2:S$43,MATCH($A2,SR_mission_minutes!$A$2:$A$43)),"-")</f>
        <v>0</v>
      </c>
      <c r="T2" s="108">
        <f>IFERROR(INDEX(lifespans_all!T$2:T$56,MATCH($A2,lifespans_all!$A$2:$A$56,0))*INDEX(SR_mission_minutes!T$2:T$43,MATCH($A2,SR_mission_minutes!$A$2:$A$43)),"-")</f>
        <v>0</v>
      </c>
      <c r="U2" s="108">
        <f>IFERROR(INDEX(lifespans_all!U$2:U$56,MATCH($A2,lifespans_all!$A$2:$A$56,0))*INDEX(SR_mission_minutes!U$2:U$43,MATCH($A2,SR_mission_minutes!$A$2:$A$43)),"-")</f>
        <v>0</v>
      </c>
      <c r="V2" s="108">
        <f>IFERROR(INDEX(lifespans_all!V$2:V$56,MATCH($A2,lifespans_all!$A$2:$A$56,0))*INDEX(SR_mission_minutes!V$2:V$43,MATCH($A2,SR_mission_minutes!$A$2:$A$43)),"-")</f>
        <v>0</v>
      </c>
      <c r="W2" s="22"/>
    </row>
    <row r="3" spans="1:23" x14ac:dyDescent="0.25">
      <c r="A3" s="32" t="s">
        <v>49</v>
      </c>
      <c r="B3" s="32" t="s">
        <v>41</v>
      </c>
      <c r="C3" s="108">
        <f>IFERROR(INDEX(lifespans_all!C$2:C$56,MATCH($A3,lifespans_all!$A$2:$A$56,0))*INDEX(SR_mission_minutes!C$2:C$43,MATCH($A3,SR_mission_minutes!$A$2:$A$43)),"-")</f>
        <v>66700.388888888891</v>
      </c>
      <c r="D3" s="108">
        <f>IFERROR(INDEX(lifespans_all!D$2:D$56,MATCH($A3,lifespans_all!$A$2:$A$56,0))*INDEX(SR_mission_minutes!D$2:D$43,MATCH($A3,SR_mission_minutes!$A$2:$A$43)),"-")</f>
        <v>66700.388888888891</v>
      </c>
      <c r="E3" s="108">
        <f>IFERROR(INDEX(lifespans_all!E$2:E$56,MATCH($A3,lifespans_all!$A$2:$A$56,0))*INDEX(SR_mission_minutes!E$2:E$43,MATCH($A3,SR_mission_minutes!$A$2:$A$43)),"-")</f>
        <v>66700.388888888891</v>
      </c>
      <c r="F3" s="108">
        <f>IFERROR(INDEX(lifespans_all!F$2:F$56,MATCH($A3,lifespans_all!$A$2:$A$56,0))*INDEX(SR_mission_minutes!F$2:F$43,MATCH($A3,SR_mission_minutes!$A$2:$A$43)),"-")</f>
        <v>66700.388888888891</v>
      </c>
      <c r="G3" s="108">
        <f>IFERROR(INDEX(lifespans_all!G$2:G$56,MATCH($A3,lifespans_all!$A$2:$A$56,0))*INDEX(SR_mission_minutes!G$2:G$43,MATCH($A3,SR_mission_minutes!$A$2:$A$43)),"-")</f>
        <v>66700.388888888891</v>
      </c>
      <c r="H3" s="108">
        <f>IFERROR(INDEX(lifespans_all!H$2:H$56,MATCH($A3,lifespans_all!$A$2:$A$56,0))*INDEX(SR_mission_minutes!H$2:H$43,MATCH($A3,SR_mission_minutes!$A$2:$A$43)),"-")</f>
        <v>66700.388888888891</v>
      </c>
      <c r="I3" s="108">
        <f>IFERROR(INDEX(lifespans_all!I$2:I$56,MATCH($A3,lifespans_all!$A$2:$A$56,0))*INDEX(SR_mission_minutes!I$2:I$43,MATCH($A3,SR_mission_minutes!$A$2:$A$43)),"-")</f>
        <v>0</v>
      </c>
      <c r="J3" s="108">
        <f>IFERROR(INDEX(lifespans_all!J$2:J$56,MATCH($A3,lifespans_all!$A$2:$A$56,0))*INDEX(SR_mission_minutes!J$2:J$43,MATCH($A3,SR_mission_minutes!$A$2:$A$43)),"-")</f>
        <v>0</v>
      </c>
      <c r="K3" s="108">
        <f>IFERROR(INDEX(lifespans_all!K$2:K$56,MATCH($A3,lifespans_all!$A$2:$A$56,0))*INDEX(SR_mission_minutes!K$2:K$43,MATCH($A3,SR_mission_minutes!$A$2:$A$43)),"-")</f>
        <v>0</v>
      </c>
      <c r="L3" s="108">
        <f>IFERROR(INDEX(lifespans_all!L$2:L$56,MATCH($A3,lifespans_all!$A$2:$A$56,0))*INDEX(SR_mission_minutes!L$2:L$43,MATCH($A3,SR_mission_minutes!$A$2:$A$43)),"-")</f>
        <v>0</v>
      </c>
      <c r="M3" s="108">
        <f>IFERROR(INDEX(lifespans_all!M$2:M$56,MATCH($A3,lifespans_all!$A$2:$A$56,0))*INDEX(SR_mission_minutes!M$2:M$43,MATCH($A3,SR_mission_minutes!$A$2:$A$43)),"-")</f>
        <v>0</v>
      </c>
      <c r="N3" s="108">
        <f>IFERROR(INDEX(lifespans_all!N$2:N$56,MATCH($A3,lifespans_all!$A$2:$A$56,0))*INDEX(SR_mission_minutes!N$2:N$43,MATCH($A3,SR_mission_minutes!$A$2:$A$43)),"-")</f>
        <v>0</v>
      </c>
      <c r="O3" s="108">
        <f>IFERROR(INDEX(lifespans_all!O$2:O$56,MATCH($A3,lifespans_all!$A$2:$A$56,0))*INDEX(SR_mission_minutes!O$2:O$43,MATCH($A3,SR_mission_minutes!$A$2:$A$43)),"-")</f>
        <v>0</v>
      </c>
      <c r="P3" s="108">
        <f>IFERROR(INDEX(lifespans_all!P$2:P$56,MATCH($A3,lifespans_all!$A$2:$A$56,0))*INDEX(SR_mission_minutes!P$2:P$43,MATCH($A3,SR_mission_minutes!$A$2:$A$43)),"-")</f>
        <v>0</v>
      </c>
      <c r="Q3" s="108">
        <f>IFERROR(INDEX(lifespans_all!Q$2:Q$56,MATCH($A3,lifespans_all!$A$2:$A$56,0))*INDEX(SR_mission_minutes!Q$2:Q$43,MATCH($A3,SR_mission_minutes!$A$2:$A$43)),"-")</f>
        <v>0</v>
      </c>
      <c r="R3" s="108">
        <f>IFERROR(INDEX(lifespans_all!R$2:R$56,MATCH($A3,lifespans_all!$A$2:$A$56,0))*INDEX(SR_mission_minutes!R$2:R$43,MATCH($A3,SR_mission_minutes!$A$2:$A$43)),"-")</f>
        <v>0</v>
      </c>
      <c r="S3" s="108">
        <f>IFERROR(INDEX(lifespans_all!S$2:S$56,MATCH($A3,lifespans_all!$A$2:$A$56,0))*INDEX(SR_mission_minutes!S$2:S$43,MATCH($A3,SR_mission_minutes!$A$2:$A$43)),"-")</f>
        <v>0</v>
      </c>
      <c r="T3" s="108">
        <f>IFERROR(INDEX(lifespans_all!T$2:T$56,MATCH($A3,lifespans_all!$A$2:$A$56,0))*INDEX(SR_mission_minutes!T$2:T$43,MATCH($A3,SR_mission_minutes!$A$2:$A$43)),"-")</f>
        <v>0</v>
      </c>
      <c r="U3" s="108">
        <f>IFERROR(INDEX(lifespans_all!U$2:U$56,MATCH($A3,lifespans_all!$A$2:$A$56,0))*INDEX(SR_mission_minutes!U$2:U$43,MATCH($A3,SR_mission_minutes!$A$2:$A$43)),"-")</f>
        <v>0</v>
      </c>
      <c r="V3" s="108">
        <f>IFERROR(INDEX(lifespans_all!V$2:V$56,MATCH($A3,lifespans_all!$A$2:$A$56,0))*INDEX(SR_mission_minutes!V$2:V$43,MATCH($A3,SR_mission_minutes!$A$2:$A$43)),"-")</f>
        <v>0</v>
      </c>
    </row>
    <row r="4" spans="1:23" x14ac:dyDescent="0.25">
      <c r="A4" s="32" t="s">
        <v>51</v>
      </c>
      <c r="B4" s="32" t="s">
        <v>42</v>
      </c>
      <c r="C4" s="108">
        <f>IFERROR(INDEX(lifespans_all!C$2:C$56,MATCH($A4,lifespans_all!$A$2:$A$56,0))*INDEX(SR_mission_minutes!C$2:C$43,MATCH($A4,SR_mission_minutes!$A$2:$A$43)),"-")</f>
        <v>2294</v>
      </c>
      <c r="D4" s="108">
        <f>IFERROR(INDEX(lifespans_all!D$2:D$56,MATCH($A4,lifespans_all!$A$2:$A$56,0))*INDEX(SR_mission_minutes!D$2:D$43,MATCH($A4,SR_mission_minutes!$A$2:$A$43)),"-")</f>
        <v>2294</v>
      </c>
      <c r="E4" s="108">
        <f>IFERROR(INDEX(lifespans_all!E$2:E$56,MATCH($A4,lifespans_all!$A$2:$A$56,0))*INDEX(SR_mission_minutes!E$2:E$43,MATCH($A4,SR_mission_minutes!$A$2:$A$43)),"-")</f>
        <v>2294</v>
      </c>
      <c r="F4" s="108">
        <f>IFERROR(INDEX(lifespans_all!F$2:F$56,MATCH($A4,lifespans_all!$A$2:$A$56,0))*INDEX(SR_mission_minutes!F$2:F$43,MATCH($A4,SR_mission_minutes!$A$2:$A$43)),"-")</f>
        <v>2294</v>
      </c>
      <c r="G4" s="108">
        <f>IFERROR(INDEX(lifespans_all!G$2:G$56,MATCH($A4,lifespans_all!$A$2:$A$56,0))*INDEX(SR_mission_minutes!G$2:G$43,MATCH($A4,SR_mission_minutes!$A$2:$A$43)),"-")</f>
        <v>0</v>
      </c>
      <c r="H4" s="108">
        <f>IFERROR(INDEX(lifespans_all!H$2:H$56,MATCH($A4,lifespans_all!$A$2:$A$56,0))*INDEX(SR_mission_minutes!H$2:H$43,MATCH($A4,SR_mission_minutes!$A$2:$A$43)),"-")</f>
        <v>0</v>
      </c>
      <c r="I4" s="108">
        <f>IFERROR(INDEX(lifespans_all!I$2:I$56,MATCH($A4,lifespans_all!$A$2:$A$56,0))*INDEX(SR_mission_minutes!I$2:I$43,MATCH($A4,SR_mission_minutes!$A$2:$A$43)),"-")</f>
        <v>0</v>
      </c>
      <c r="J4" s="108">
        <f>IFERROR(INDEX(lifespans_all!J$2:J$56,MATCH($A4,lifespans_all!$A$2:$A$56,0))*INDEX(SR_mission_minutes!J$2:J$43,MATCH($A4,SR_mission_minutes!$A$2:$A$43)),"-")</f>
        <v>0</v>
      </c>
      <c r="K4" s="108">
        <f>IFERROR(INDEX(lifespans_all!K$2:K$56,MATCH($A4,lifespans_all!$A$2:$A$56,0))*INDEX(SR_mission_minutes!K$2:K$43,MATCH($A4,SR_mission_minutes!$A$2:$A$43)),"-")</f>
        <v>0</v>
      </c>
      <c r="L4" s="108">
        <f>IFERROR(INDEX(lifespans_all!L$2:L$56,MATCH($A4,lifespans_all!$A$2:$A$56,0))*INDEX(SR_mission_minutes!L$2:L$43,MATCH($A4,SR_mission_minutes!$A$2:$A$43)),"-")</f>
        <v>0</v>
      </c>
      <c r="M4" s="108">
        <f>IFERROR(INDEX(lifespans_all!M$2:M$56,MATCH($A4,lifespans_all!$A$2:$A$56,0))*INDEX(SR_mission_minutes!M$2:M$43,MATCH($A4,SR_mission_minutes!$A$2:$A$43)),"-")</f>
        <v>0</v>
      </c>
      <c r="N4" s="108">
        <f>IFERROR(INDEX(lifespans_all!N$2:N$56,MATCH($A4,lifespans_all!$A$2:$A$56,0))*INDEX(SR_mission_minutes!N$2:N$43,MATCH($A4,SR_mission_minutes!$A$2:$A$43)),"-")</f>
        <v>0</v>
      </c>
      <c r="O4" s="108">
        <f>IFERROR(INDEX(lifespans_all!O$2:O$56,MATCH($A4,lifespans_all!$A$2:$A$56,0))*INDEX(SR_mission_minutes!O$2:O$43,MATCH($A4,SR_mission_minutes!$A$2:$A$43)),"-")</f>
        <v>0</v>
      </c>
      <c r="P4" s="108">
        <f>IFERROR(INDEX(lifespans_all!P$2:P$56,MATCH($A4,lifespans_all!$A$2:$A$56,0))*INDEX(SR_mission_minutes!P$2:P$43,MATCH($A4,SR_mission_minutes!$A$2:$A$43)),"-")</f>
        <v>0</v>
      </c>
      <c r="Q4" s="108">
        <f>IFERROR(INDEX(lifespans_all!Q$2:Q$56,MATCH($A4,lifespans_all!$A$2:$A$56,0))*INDEX(SR_mission_minutes!Q$2:Q$43,MATCH($A4,SR_mission_minutes!$A$2:$A$43)),"-")</f>
        <v>0</v>
      </c>
      <c r="R4" s="108">
        <f>IFERROR(INDEX(lifespans_all!R$2:R$56,MATCH($A4,lifespans_all!$A$2:$A$56,0))*INDEX(SR_mission_minutes!R$2:R$43,MATCH($A4,SR_mission_minutes!$A$2:$A$43)),"-")</f>
        <v>0</v>
      </c>
      <c r="S4" s="108">
        <f>IFERROR(INDEX(lifespans_all!S$2:S$56,MATCH($A4,lifespans_all!$A$2:$A$56,0))*INDEX(SR_mission_minutes!S$2:S$43,MATCH($A4,SR_mission_minutes!$A$2:$A$43)),"-")</f>
        <v>0</v>
      </c>
      <c r="T4" s="108">
        <f>IFERROR(INDEX(lifespans_all!T$2:T$56,MATCH($A4,lifespans_all!$A$2:$A$56,0))*INDEX(SR_mission_minutes!T$2:T$43,MATCH($A4,SR_mission_minutes!$A$2:$A$43)),"-")</f>
        <v>0</v>
      </c>
      <c r="U4" s="108">
        <f>IFERROR(INDEX(lifespans_all!U$2:U$56,MATCH($A4,lifespans_all!$A$2:$A$56,0))*INDEX(SR_mission_minutes!U$2:U$43,MATCH($A4,SR_mission_minutes!$A$2:$A$43)),"-")</f>
        <v>0</v>
      </c>
      <c r="V4" s="108">
        <f>IFERROR(INDEX(lifespans_all!V$2:V$56,MATCH($A4,lifespans_all!$A$2:$A$56,0))*INDEX(SR_mission_minutes!V$2:V$43,MATCH($A4,SR_mission_minutes!$A$2:$A$43)),"-")</f>
        <v>0</v>
      </c>
    </row>
    <row r="5" spans="1:23" x14ac:dyDescent="0.25">
      <c r="A5" s="32" t="s">
        <v>52</v>
      </c>
      <c r="B5" s="32" t="s">
        <v>41</v>
      </c>
      <c r="C5" s="108">
        <f>IFERROR(INDEX(lifespans_all!C$2:C$56,MATCH($A5,lifespans_all!$A$2:$A$56,0))*INDEX(SR_mission_minutes!C$2:C$43,MATCH($A5,SR_mission_minutes!$A$2:$A$43)),"-")</f>
        <v>66700.388888888891</v>
      </c>
      <c r="D5" s="108">
        <f>IFERROR(INDEX(lifespans_all!D$2:D$56,MATCH($A5,lifespans_all!$A$2:$A$56,0))*INDEX(SR_mission_minutes!D$2:D$43,MATCH($A5,SR_mission_minutes!$A$2:$A$43)),"-")</f>
        <v>66700.388888888891</v>
      </c>
      <c r="E5" s="108">
        <f>IFERROR(INDEX(lifespans_all!E$2:E$56,MATCH($A5,lifespans_all!$A$2:$A$56,0))*INDEX(SR_mission_minutes!E$2:E$43,MATCH($A5,SR_mission_minutes!$A$2:$A$43)),"-")</f>
        <v>66700.388888888891</v>
      </c>
      <c r="F5" s="108">
        <f>IFERROR(INDEX(lifespans_all!F$2:F$56,MATCH($A5,lifespans_all!$A$2:$A$56,0))*INDEX(SR_mission_minutes!F$2:F$43,MATCH($A5,SR_mission_minutes!$A$2:$A$43)),"-")</f>
        <v>66700.388888888891</v>
      </c>
      <c r="G5" s="108">
        <f>IFERROR(INDEX(lifespans_all!G$2:G$56,MATCH($A5,lifespans_all!$A$2:$A$56,0))*INDEX(SR_mission_minutes!G$2:G$43,MATCH($A5,SR_mission_minutes!$A$2:$A$43)),"-")</f>
        <v>66700.388888888891</v>
      </c>
      <c r="H5" s="108">
        <f>IFERROR(INDEX(lifespans_all!H$2:H$56,MATCH($A5,lifespans_all!$A$2:$A$56,0))*INDEX(SR_mission_minutes!H$2:H$43,MATCH($A5,SR_mission_minutes!$A$2:$A$43)),"-")</f>
        <v>66700.388888888891</v>
      </c>
      <c r="I5" s="108">
        <f>IFERROR(INDEX(lifespans_all!I$2:I$56,MATCH($A5,lifespans_all!$A$2:$A$56,0))*INDEX(SR_mission_minutes!I$2:I$43,MATCH($A5,SR_mission_minutes!$A$2:$A$43)),"-")</f>
        <v>0</v>
      </c>
      <c r="J5" s="108">
        <f>IFERROR(INDEX(lifespans_all!J$2:J$56,MATCH($A5,lifespans_all!$A$2:$A$56,0))*INDEX(SR_mission_minutes!J$2:J$43,MATCH($A5,SR_mission_minutes!$A$2:$A$43)),"-")</f>
        <v>0</v>
      </c>
      <c r="K5" s="108">
        <f>IFERROR(INDEX(lifespans_all!K$2:K$56,MATCH($A5,lifespans_all!$A$2:$A$56,0))*INDEX(SR_mission_minutes!K$2:K$43,MATCH($A5,SR_mission_minutes!$A$2:$A$43)),"-")</f>
        <v>0</v>
      </c>
      <c r="L5" s="108">
        <f>IFERROR(INDEX(lifespans_all!L$2:L$56,MATCH($A5,lifespans_all!$A$2:$A$56,0))*INDEX(SR_mission_minutes!L$2:L$43,MATCH($A5,SR_mission_minutes!$A$2:$A$43)),"-")</f>
        <v>0</v>
      </c>
      <c r="M5" s="108">
        <f>IFERROR(INDEX(lifespans_all!M$2:M$56,MATCH($A5,lifespans_all!$A$2:$A$56,0))*INDEX(SR_mission_minutes!M$2:M$43,MATCH($A5,SR_mission_minutes!$A$2:$A$43)),"-")</f>
        <v>0</v>
      </c>
      <c r="N5" s="108">
        <f>IFERROR(INDEX(lifespans_all!N$2:N$56,MATCH($A5,lifespans_all!$A$2:$A$56,0))*INDEX(SR_mission_minutes!N$2:N$43,MATCH($A5,SR_mission_minutes!$A$2:$A$43)),"-")</f>
        <v>0</v>
      </c>
      <c r="O5" s="108">
        <f>IFERROR(INDEX(lifespans_all!O$2:O$56,MATCH($A5,lifespans_all!$A$2:$A$56,0))*INDEX(SR_mission_minutes!O$2:O$43,MATCH($A5,SR_mission_minutes!$A$2:$A$43)),"-")</f>
        <v>0</v>
      </c>
      <c r="P5" s="108">
        <f>IFERROR(INDEX(lifespans_all!P$2:P$56,MATCH($A5,lifespans_all!$A$2:$A$56,0))*INDEX(SR_mission_minutes!P$2:P$43,MATCH($A5,SR_mission_minutes!$A$2:$A$43)),"-")</f>
        <v>0</v>
      </c>
      <c r="Q5" s="108">
        <f>IFERROR(INDEX(lifespans_all!Q$2:Q$56,MATCH($A5,lifespans_all!$A$2:$A$56,0))*INDEX(SR_mission_minutes!Q$2:Q$43,MATCH($A5,SR_mission_minutes!$A$2:$A$43)),"-")</f>
        <v>0</v>
      </c>
      <c r="R5" s="108">
        <f>IFERROR(INDEX(lifespans_all!R$2:R$56,MATCH($A5,lifespans_all!$A$2:$A$56,0))*INDEX(SR_mission_minutes!R$2:R$43,MATCH($A5,SR_mission_minutes!$A$2:$A$43)),"-")</f>
        <v>0</v>
      </c>
      <c r="S5" s="108">
        <f>IFERROR(INDEX(lifespans_all!S$2:S$56,MATCH($A5,lifespans_all!$A$2:$A$56,0))*INDEX(SR_mission_minutes!S$2:S$43,MATCH($A5,SR_mission_minutes!$A$2:$A$43)),"-")</f>
        <v>0</v>
      </c>
      <c r="T5" s="108">
        <f>IFERROR(INDEX(lifespans_all!T$2:T$56,MATCH($A5,lifespans_all!$A$2:$A$56,0))*INDEX(SR_mission_minutes!T$2:T$43,MATCH($A5,SR_mission_minutes!$A$2:$A$43)),"-")</f>
        <v>0</v>
      </c>
      <c r="U5" s="108">
        <f>IFERROR(INDEX(lifespans_all!U$2:U$56,MATCH($A5,lifespans_all!$A$2:$A$56,0))*INDEX(SR_mission_minutes!U$2:U$43,MATCH($A5,SR_mission_minutes!$A$2:$A$43)),"-")</f>
        <v>0</v>
      </c>
      <c r="V5" s="108">
        <f>IFERROR(INDEX(lifespans_all!V$2:V$56,MATCH($A5,lifespans_all!$A$2:$A$56,0))*INDEX(SR_mission_minutes!V$2:V$43,MATCH($A5,SR_mission_minutes!$A$2:$A$43)),"-")</f>
        <v>0</v>
      </c>
    </row>
    <row r="6" spans="1:23" x14ac:dyDescent="0.25">
      <c r="A6" s="32" t="s">
        <v>18</v>
      </c>
      <c r="B6" s="32" t="s">
        <v>48</v>
      </c>
      <c r="C6" s="108" t="str">
        <f>IFERROR(INDEX(lifespans_all!C$2:C$56,MATCH($A6,lifespans_all!$A$2:$A$56,0))*INDEX(SR_mission_minutes!C$2:C$43,MATCH($A6,SR_mission_minutes!$A$2:$A$43)),"-")</f>
        <v>-</v>
      </c>
      <c r="D6" s="108" t="str">
        <f>IFERROR(INDEX(lifespans_all!D$2:D$56,MATCH($A6,lifespans_all!$A$2:$A$56,0))*INDEX(SR_mission_minutes!D$2:D$43,MATCH($A6,SR_mission_minutes!$A$2:$A$43)),"-")</f>
        <v>-</v>
      </c>
      <c r="E6" s="108" t="str">
        <f>IFERROR(INDEX(lifespans_all!E$2:E$56,MATCH($A6,lifespans_all!$A$2:$A$56,0))*INDEX(SR_mission_minutes!E$2:E$43,MATCH($A6,SR_mission_minutes!$A$2:$A$43)),"-")</f>
        <v>-</v>
      </c>
      <c r="F6" s="108" t="str">
        <f>IFERROR(INDEX(lifespans_all!F$2:F$56,MATCH($A6,lifespans_all!$A$2:$A$56,0))*INDEX(SR_mission_minutes!F$2:F$43,MATCH($A6,SR_mission_minutes!$A$2:$A$43)),"-")</f>
        <v>-</v>
      </c>
      <c r="G6" s="108" t="str">
        <f>IFERROR(INDEX(lifespans_all!G$2:G$56,MATCH($A6,lifespans_all!$A$2:$A$56,0))*INDEX(SR_mission_minutes!G$2:G$43,MATCH($A6,SR_mission_minutes!$A$2:$A$43)),"-")</f>
        <v>-</v>
      </c>
      <c r="H6" s="108" t="str">
        <f>IFERROR(INDEX(lifespans_all!H$2:H$56,MATCH($A6,lifespans_all!$A$2:$A$56,0))*INDEX(SR_mission_minutes!H$2:H$43,MATCH($A6,SR_mission_minutes!$A$2:$A$43)),"-")</f>
        <v>-</v>
      </c>
      <c r="I6" s="108" t="str">
        <f>IFERROR(INDEX(lifespans_all!I$2:I$56,MATCH($A6,lifespans_all!$A$2:$A$56,0))*INDEX(SR_mission_minutes!I$2:I$43,MATCH($A6,SR_mission_minutes!$A$2:$A$43)),"-")</f>
        <v>-</v>
      </c>
      <c r="J6" s="108" t="str">
        <f>IFERROR(INDEX(lifespans_all!J$2:J$56,MATCH($A6,lifespans_all!$A$2:$A$56,0))*INDEX(SR_mission_minutes!J$2:J$43,MATCH($A6,SR_mission_minutes!$A$2:$A$43)),"-")</f>
        <v>-</v>
      </c>
      <c r="K6" s="108" t="str">
        <f>IFERROR(INDEX(lifespans_all!K$2:K$56,MATCH($A6,lifespans_all!$A$2:$A$56,0))*INDEX(SR_mission_minutes!K$2:K$43,MATCH($A6,SR_mission_minutes!$A$2:$A$43)),"-")</f>
        <v>-</v>
      </c>
      <c r="L6" s="108" t="str">
        <f>IFERROR(INDEX(lifespans_all!L$2:L$56,MATCH($A6,lifespans_all!$A$2:$A$56,0))*INDEX(SR_mission_minutes!L$2:L$43,MATCH($A6,SR_mission_minutes!$A$2:$A$43)),"-")</f>
        <v>-</v>
      </c>
      <c r="M6" s="108" t="str">
        <f>IFERROR(INDEX(lifespans_all!M$2:M$56,MATCH($A6,lifespans_all!$A$2:$A$56,0))*INDEX(SR_mission_minutes!M$2:M$43,MATCH($A6,SR_mission_minutes!$A$2:$A$43)),"-")</f>
        <v>-</v>
      </c>
      <c r="N6" s="108" t="str">
        <f>IFERROR(INDEX(lifespans_all!N$2:N$56,MATCH($A6,lifespans_all!$A$2:$A$56,0))*INDEX(SR_mission_minutes!N$2:N$43,MATCH($A6,SR_mission_minutes!$A$2:$A$43)),"-")</f>
        <v>-</v>
      </c>
      <c r="O6" s="108" t="str">
        <f>IFERROR(INDEX(lifespans_all!O$2:O$56,MATCH($A6,lifespans_all!$A$2:$A$56,0))*INDEX(SR_mission_minutes!O$2:O$43,MATCH($A6,SR_mission_minutes!$A$2:$A$43)),"-")</f>
        <v>-</v>
      </c>
      <c r="P6" s="108" t="str">
        <f>IFERROR(INDEX(lifespans_all!P$2:P$56,MATCH($A6,lifespans_all!$A$2:$A$56,0))*INDEX(SR_mission_minutes!P$2:P$43,MATCH($A6,SR_mission_minutes!$A$2:$A$43)),"-")</f>
        <v>-</v>
      </c>
      <c r="Q6" s="108" t="str">
        <f>IFERROR(INDEX(lifespans_all!Q$2:Q$56,MATCH($A6,lifespans_all!$A$2:$A$56,0))*INDEX(SR_mission_minutes!Q$2:Q$43,MATCH($A6,SR_mission_minutes!$A$2:$A$43)),"-")</f>
        <v>-</v>
      </c>
      <c r="R6" s="108" t="str">
        <f>IFERROR(INDEX(lifespans_all!R$2:R$56,MATCH($A6,lifespans_all!$A$2:$A$56,0))*INDEX(SR_mission_minutes!R$2:R$43,MATCH($A6,SR_mission_minutes!$A$2:$A$43)),"-")</f>
        <v>-</v>
      </c>
      <c r="S6" s="108" t="str">
        <f>IFERROR(INDEX(lifespans_all!S$2:S$56,MATCH($A6,lifespans_all!$A$2:$A$56,0))*INDEX(SR_mission_minutes!S$2:S$43,MATCH($A6,SR_mission_minutes!$A$2:$A$43)),"-")</f>
        <v>-</v>
      </c>
      <c r="T6" s="108" t="str">
        <f>IFERROR(INDEX(lifespans_all!T$2:T$56,MATCH($A6,lifespans_all!$A$2:$A$56,0))*INDEX(SR_mission_minutes!T$2:T$43,MATCH($A6,SR_mission_minutes!$A$2:$A$43)),"-")</f>
        <v>-</v>
      </c>
      <c r="U6" s="108" t="str">
        <f>IFERROR(INDEX(lifespans_all!U$2:U$56,MATCH($A6,lifespans_all!$A$2:$A$56,0))*INDEX(SR_mission_minutes!U$2:U$43,MATCH($A6,SR_mission_minutes!$A$2:$A$43)),"-")</f>
        <v>-</v>
      </c>
      <c r="V6" s="108" t="str">
        <f>IFERROR(INDEX(lifespans_all!V$2:V$56,MATCH($A6,lifespans_all!$A$2:$A$56,0))*INDEX(SR_mission_minutes!V$2:V$43,MATCH($A6,SR_mission_minutes!$A$2:$A$43)),"-")</f>
        <v>-</v>
      </c>
    </row>
    <row r="7" spans="1:23" x14ac:dyDescent="0.25">
      <c r="A7" s="32" t="s">
        <v>55</v>
      </c>
      <c r="B7" s="32" t="s">
        <v>42</v>
      </c>
      <c r="C7" s="108">
        <f>IFERROR(INDEX(lifespans_all!C$2:C$56,MATCH($A7,lifespans_all!$A$2:$A$56,0))*INDEX(SR_mission_minutes!C$2:C$43,MATCH($A7,SR_mission_minutes!$A$2:$A$43)),"-")</f>
        <v>2294</v>
      </c>
      <c r="D7" s="108">
        <f>IFERROR(INDEX(lifespans_all!D$2:D$56,MATCH($A7,lifespans_all!$A$2:$A$56,0))*INDEX(SR_mission_minutes!D$2:D$43,MATCH($A7,SR_mission_minutes!$A$2:$A$43)),"-")</f>
        <v>2294</v>
      </c>
      <c r="E7" s="108">
        <f>IFERROR(INDEX(lifespans_all!E$2:E$56,MATCH($A7,lifespans_all!$A$2:$A$56,0))*INDEX(SR_mission_minutes!E$2:E$43,MATCH($A7,SR_mission_minutes!$A$2:$A$43)),"-")</f>
        <v>2294</v>
      </c>
      <c r="F7" s="108">
        <f>IFERROR(INDEX(lifespans_all!F$2:F$56,MATCH($A7,lifespans_all!$A$2:$A$56,0))*INDEX(SR_mission_minutes!F$2:F$43,MATCH($A7,SR_mission_minutes!$A$2:$A$43)),"-")</f>
        <v>2294</v>
      </c>
      <c r="G7" s="108">
        <f>IFERROR(INDEX(lifespans_all!G$2:G$56,MATCH($A7,lifespans_all!$A$2:$A$56,0))*INDEX(SR_mission_minutes!G$2:G$43,MATCH($A7,SR_mission_minutes!$A$2:$A$43)),"-")</f>
        <v>2294</v>
      </c>
      <c r="H7" s="108">
        <f>IFERROR(INDEX(lifespans_all!H$2:H$56,MATCH($A7,lifespans_all!$A$2:$A$56,0))*INDEX(SR_mission_minutes!H$2:H$43,MATCH($A7,SR_mission_minutes!$A$2:$A$43)),"-")</f>
        <v>2294</v>
      </c>
      <c r="I7" s="108">
        <f>IFERROR(INDEX(lifespans_all!I$2:I$56,MATCH($A7,lifespans_all!$A$2:$A$56,0))*INDEX(SR_mission_minutes!I$2:I$43,MATCH($A7,SR_mission_minutes!$A$2:$A$43)),"-")</f>
        <v>2294</v>
      </c>
      <c r="J7" s="108">
        <f>IFERROR(INDEX(lifespans_all!J$2:J$56,MATCH($A7,lifespans_all!$A$2:$A$56,0))*INDEX(SR_mission_minutes!J$2:J$43,MATCH($A7,SR_mission_minutes!$A$2:$A$43)),"-")</f>
        <v>2294</v>
      </c>
      <c r="K7" s="108">
        <f>IFERROR(INDEX(lifespans_all!K$2:K$56,MATCH($A7,lifespans_all!$A$2:$A$56,0))*INDEX(SR_mission_minutes!K$2:K$43,MATCH($A7,SR_mission_minutes!$A$2:$A$43)),"-")</f>
        <v>2294</v>
      </c>
      <c r="L7" s="108">
        <f>IFERROR(INDEX(lifespans_all!L$2:L$56,MATCH($A7,lifespans_all!$A$2:$A$56,0))*INDEX(SR_mission_minutes!L$2:L$43,MATCH($A7,SR_mission_minutes!$A$2:$A$43)),"-")</f>
        <v>2294</v>
      </c>
      <c r="M7" s="108">
        <f>IFERROR(INDEX(lifespans_all!M$2:M$56,MATCH($A7,lifespans_all!$A$2:$A$56,0))*INDEX(SR_mission_minutes!M$2:M$43,MATCH($A7,SR_mission_minutes!$A$2:$A$43)),"-")</f>
        <v>2294</v>
      </c>
      <c r="N7" s="108">
        <f>IFERROR(INDEX(lifespans_all!N$2:N$56,MATCH($A7,lifespans_all!$A$2:$A$56,0))*INDEX(SR_mission_minutes!N$2:N$43,MATCH($A7,SR_mission_minutes!$A$2:$A$43)),"-")</f>
        <v>2294</v>
      </c>
      <c r="O7" s="108">
        <f>IFERROR(INDEX(lifespans_all!O$2:O$56,MATCH($A7,lifespans_all!$A$2:$A$56,0))*INDEX(SR_mission_minutes!O$2:O$43,MATCH($A7,SR_mission_minutes!$A$2:$A$43)),"-")</f>
        <v>2294</v>
      </c>
      <c r="P7" s="108">
        <f>IFERROR(INDEX(lifespans_all!P$2:P$56,MATCH($A7,lifespans_all!$A$2:$A$56,0))*INDEX(SR_mission_minutes!P$2:P$43,MATCH($A7,SR_mission_minutes!$A$2:$A$43)),"-")</f>
        <v>2294</v>
      </c>
      <c r="Q7" s="108">
        <f>IFERROR(INDEX(lifespans_all!Q$2:Q$56,MATCH($A7,lifespans_all!$A$2:$A$56,0))*INDEX(SR_mission_minutes!Q$2:Q$43,MATCH($A7,SR_mission_minutes!$A$2:$A$43)),"-")</f>
        <v>2294</v>
      </c>
      <c r="R7" s="108">
        <f>IFERROR(INDEX(lifespans_all!R$2:R$56,MATCH($A7,lifespans_all!$A$2:$A$56,0))*INDEX(SR_mission_minutes!R$2:R$43,MATCH($A7,SR_mission_minutes!$A$2:$A$43)),"-")</f>
        <v>2294</v>
      </c>
      <c r="S7" s="108">
        <f>IFERROR(INDEX(lifespans_all!S$2:S$56,MATCH($A7,lifespans_all!$A$2:$A$56,0))*INDEX(SR_mission_minutes!S$2:S$43,MATCH($A7,SR_mission_minutes!$A$2:$A$43)),"-")</f>
        <v>2294</v>
      </c>
      <c r="T7" s="108">
        <f>IFERROR(INDEX(lifespans_all!T$2:T$56,MATCH($A7,lifespans_all!$A$2:$A$56,0))*INDEX(SR_mission_minutes!T$2:T$43,MATCH($A7,SR_mission_minutes!$A$2:$A$43)),"-")</f>
        <v>2294</v>
      </c>
      <c r="U7" s="108">
        <f>IFERROR(INDEX(lifespans_all!U$2:U$56,MATCH($A7,lifespans_all!$A$2:$A$56,0))*INDEX(SR_mission_minutes!U$2:U$43,MATCH($A7,SR_mission_minutes!$A$2:$A$43)),"-")</f>
        <v>2294</v>
      </c>
      <c r="V7" s="108">
        <f>IFERROR(INDEX(lifespans_all!V$2:V$56,MATCH($A7,lifespans_all!$A$2:$A$56,0))*INDEX(SR_mission_minutes!V$2:V$43,MATCH($A7,SR_mission_minutes!$A$2:$A$43)),"-")</f>
        <v>2294</v>
      </c>
    </row>
    <row r="8" spans="1:23" x14ac:dyDescent="0.25">
      <c r="A8" s="32" t="s">
        <v>56</v>
      </c>
      <c r="B8" s="32" t="s">
        <v>43</v>
      </c>
      <c r="C8" s="108">
        <f>IFERROR(INDEX(lifespans_all!C$2:C$56,MATCH($A8,lifespans_all!$A$2:$A$56,0))*INDEX(SR_mission_minutes!C$2:C$43,MATCH($A8,SR_mission_minutes!$A$2:$A$43)),"-")</f>
        <v>114879</v>
      </c>
      <c r="D8" s="108">
        <f>IFERROR(INDEX(lifespans_all!D$2:D$56,MATCH($A8,lifespans_all!$A$2:$A$56,0))*INDEX(SR_mission_minutes!D$2:D$43,MATCH($A8,SR_mission_minutes!$A$2:$A$43)),"-")</f>
        <v>114879</v>
      </c>
      <c r="E8" s="108">
        <f>IFERROR(INDEX(lifespans_all!E$2:E$56,MATCH($A8,lifespans_all!$A$2:$A$56,0))*INDEX(SR_mission_minutes!E$2:E$43,MATCH($A8,SR_mission_minutes!$A$2:$A$43)),"-")</f>
        <v>114879</v>
      </c>
      <c r="F8" s="108">
        <f>IFERROR(INDEX(lifespans_all!F$2:F$56,MATCH($A8,lifespans_all!$A$2:$A$56,0))*INDEX(SR_mission_minutes!F$2:F$43,MATCH($A8,SR_mission_minutes!$A$2:$A$43)),"-")</f>
        <v>114879</v>
      </c>
      <c r="G8" s="108">
        <f>IFERROR(INDEX(lifespans_all!G$2:G$56,MATCH($A8,lifespans_all!$A$2:$A$56,0))*INDEX(SR_mission_minutes!G$2:G$43,MATCH($A8,SR_mission_minutes!$A$2:$A$43)),"-")</f>
        <v>114879</v>
      </c>
      <c r="H8" s="108">
        <f>IFERROR(INDEX(lifespans_all!H$2:H$56,MATCH($A8,lifespans_all!$A$2:$A$56,0))*INDEX(SR_mission_minutes!H$2:H$43,MATCH($A8,SR_mission_minutes!$A$2:$A$43)),"-")</f>
        <v>114879</v>
      </c>
      <c r="I8" s="108">
        <f>IFERROR(INDEX(lifespans_all!I$2:I$56,MATCH($A8,lifespans_all!$A$2:$A$56,0))*INDEX(SR_mission_minutes!I$2:I$43,MATCH($A8,SR_mission_minutes!$A$2:$A$43)),"-")</f>
        <v>114879</v>
      </c>
      <c r="J8" s="108">
        <f>IFERROR(INDEX(lifespans_all!J$2:J$56,MATCH($A8,lifespans_all!$A$2:$A$56,0))*INDEX(SR_mission_minutes!J$2:J$43,MATCH($A8,SR_mission_minutes!$A$2:$A$43)),"-")</f>
        <v>114879</v>
      </c>
      <c r="K8" s="108">
        <f>IFERROR(INDEX(lifespans_all!K$2:K$56,MATCH($A8,lifespans_all!$A$2:$A$56,0))*INDEX(SR_mission_minutes!K$2:K$43,MATCH($A8,SR_mission_minutes!$A$2:$A$43)),"-")</f>
        <v>114879</v>
      </c>
      <c r="L8" s="108">
        <f>IFERROR(INDEX(lifespans_all!L$2:L$56,MATCH($A8,lifespans_all!$A$2:$A$56,0))*INDEX(SR_mission_minutes!L$2:L$43,MATCH($A8,SR_mission_minutes!$A$2:$A$43)),"-")</f>
        <v>114879</v>
      </c>
      <c r="M8" s="108">
        <f>IFERROR(INDEX(lifespans_all!M$2:M$56,MATCH($A8,lifespans_all!$A$2:$A$56,0))*INDEX(SR_mission_minutes!M$2:M$43,MATCH($A8,SR_mission_minutes!$A$2:$A$43)),"-")</f>
        <v>114879</v>
      </c>
      <c r="N8" s="108">
        <f>IFERROR(INDEX(lifespans_all!N$2:N$56,MATCH($A8,lifespans_all!$A$2:$A$56,0))*INDEX(SR_mission_minutes!N$2:N$43,MATCH($A8,SR_mission_minutes!$A$2:$A$43)),"-")</f>
        <v>114879</v>
      </c>
      <c r="O8" s="108">
        <f>IFERROR(INDEX(lifespans_all!O$2:O$56,MATCH($A8,lifespans_all!$A$2:$A$56,0))*INDEX(SR_mission_minutes!O$2:O$43,MATCH($A8,SR_mission_minutes!$A$2:$A$43)),"-")</f>
        <v>114879</v>
      </c>
      <c r="P8" s="108">
        <f>IFERROR(INDEX(lifespans_all!P$2:P$56,MATCH($A8,lifespans_all!$A$2:$A$56,0))*INDEX(SR_mission_minutes!P$2:P$43,MATCH($A8,SR_mission_minutes!$A$2:$A$43)),"-")</f>
        <v>114879</v>
      </c>
      <c r="Q8" s="108">
        <f>IFERROR(INDEX(lifespans_all!Q$2:Q$56,MATCH($A8,lifespans_all!$A$2:$A$56,0))*INDEX(SR_mission_minutes!Q$2:Q$43,MATCH($A8,SR_mission_minutes!$A$2:$A$43)),"-")</f>
        <v>114879</v>
      </c>
      <c r="R8" s="108">
        <f>IFERROR(INDEX(lifespans_all!R$2:R$56,MATCH($A8,lifespans_all!$A$2:$A$56,0))*INDEX(SR_mission_minutes!R$2:R$43,MATCH($A8,SR_mission_minutes!$A$2:$A$43)),"-")</f>
        <v>114879</v>
      </c>
      <c r="S8" s="108">
        <f>IFERROR(INDEX(lifespans_all!S$2:S$56,MATCH($A8,lifespans_all!$A$2:$A$56,0))*INDEX(SR_mission_minutes!S$2:S$43,MATCH($A8,SR_mission_minutes!$A$2:$A$43)),"-")</f>
        <v>114879</v>
      </c>
      <c r="T8" s="108">
        <f>IFERROR(INDEX(lifespans_all!T$2:T$56,MATCH($A8,lifespans_all!$A$2:$A$56,0))*INDEX(SR_mission_minutes!T$2:T$43,MATCH($A8,SR_mission_minutes!$A$2:$A$43)),"-")</f>
        <v>114879</v>
      </c>
      <c r="U8" s="108">
        <f>IFERROR(INDEX(lifespans_all!U$2:U$56,MATCH($A8,lifespans_all!$A$2:$A$56,0))*INDEX(SR_mission_minutes!U$2:U$43,MATCH($A8,SR_mission_minutes!$A$2:$A$43)),"-")</f>
        <v>114879</v>
      </c>
      <c r="V8" s="108">
        <f>IFERROR(INDEX(lifespans_all!V$2:V$56,MATCH($A8,lifespans_all!$A$2:$A$56,0))*INDEX(SR_mission_minutes!V$2:V$43,MATCH($A8,SR_mission_minutes!$A$2:$A$43)),"-")</f>
        <v>114879</v>
      </c>
    </row>
    <row r="9" spans="1:23" x14ac:dyDescent="0.25">
      <c r="A9" s="32" t="s">
        <v>19</v>
      </c>
      <c r="B9" s="32" t="s">
        <v>41</v>
      </c>
      <c r="C9" s="108">
        <f>IFERROR(INDEX(lifespans_all!C$2:C$56,MATCH($A9,lifespans_all!$A$2:$A$56,0))*INDEX(SR_mission_minutes!C$2:C$43,MATCH($A9,SR_mission_minutes!$A$2:$A$43)),"-")</f>
        <v>66700.388888888891</v>
      </c>
      <c r="D9" s="108">
        <f>IFERROR(INDEX(lifespans_all!D$2:D$56,MATCH($A9,lifespans_all!$A$2:$A$56,0))*INDEX(SR_mission_minutes!D$2:D$43,MATCH($A9,SR_mission_minutes!$A$2:$A$43)),"-")</f>
        <v>66700.388888888891</v>
      </c>
      <c r="E9" s="108">
        <f>IFERROR(INDEX(lifespans_all!E$2:E$56,MATCH($A9,lifespans_all!$A$2:$A$56,0))*INDEX(SR_mission_minutes!E$2:E$43,MATCH($A9,SR_mission_minutes!$A$2:$A$43)),"-")</f>
        <v>66700.388888888891</v>
      </c>
      <c r="F9" s="108">
        <f>IFERROR(INDEX(lifespans_all!F$2:F$56,MATCH($A9,lifespans_all!$A$2:$A$56,0))*INDEX(SR_mission_minutes!F$2:F$43,MATCH($A9,SR_mission_minutes!$A$2:$A$43)),"-")</f>
        <v>66700.388888888891</v>
      </c>
      <c r="G9" s="108">
        <f>IFERROR(INDEX(lifespans_all!G$2:G$56,MATCH($A9,lifespans_all!$A$2:$A$56,0))*INDEX(SR_mission_minutes!G$2:G$43,MATCH($A9,SR_mission_minutes!$A$2:$A$43)),"-")</f>
        <v>66700.388888888891</v>
      </c>
      <c r="H9" s="108">
        <f>IFERROR(INDEX(lifespans_all!H$2:H$56,MATCH($A9,lifespans_all!$A$2:$A$56,0))*INDEX(SR_mission_minutes!H$2:H$43,MATCH($A9,SR_mission_minutes!$A$2:$A$43)),"-")</f>
        <v>66700.388888888891</v>
      </c>
      <c r="I9" s="108">
        <f>IFERROR(INDEX(lifespans_all!I$2:I$56,MATCH($A9,lifespans_all!$A$2:$A$56,0))*INDEX(SR_mission_minutes!I$2:I$43,MATCH($A9,SR_mission_minutes!$A$2:$A$43)),"-")</f>
        <v>66700.388888888891</v>
      </c>
      <c r="J9" s="108">
        <f>IFERROR(INDEX(lifespans_all!J$2:J$56,MATCH($A9,lifespans_all!$A$2:$A$56,0))*INDEX(SR_mission_minutes!J$2:J$43,MATCH($A9,SR_mission_minutes!$A$2:$A$43)),"-")</f>
        <v>0</v>
      </c>
      <c r="K9" s="108">
        <f>IFERROR(INDEX(lifespans_all!K$2:K$56,MATCH($A9,lifespans_all!$A$2:$A$56,0))*INDEX(SR_mission_minutes!K$2:K$43,MATCH($A9,SR_mission_minutes!$A$2:$A$43)),"-")</f>
        <v>0</v>
      </c>
      <c r="L9" s="108">
        <f>IFERROR(INDEX(lifespans_all!L$2:L$56,MATCH($A9,lifespans_all!$A$2:$A$56,0))*INDEX(SR_mission_minutes!L$2:L$43,MATCH($A9,SR_mission_minutes!$A$2:$A$43)),"-")</f>
        <v>0</v>
      </c>
      <c r="M9" s="108">
        <f>IFERROR(INDEX(lifespans_all!M$2:M$56,MATCH($A9,lifespans_all!$A$2:$A$56,0))*INDEX(SR_mission_minutes!M$2:M$43,MATCH($A9,SR_mission_minutes!$A$2:$A$43)),"-")</f>
        <v>0</v>
      </c>
      <c r="N9" s="108">
        <f>IFERROR(INDEX(lifespans_all!N$2:N$56,MATCH($A9,lifespans_all!$A$2:$A$56,0))*INDEX(SR_mission_minutes!N$2:N$43,MATCH($A9,SR_mission_minutes!$A$2:$A$43)),"-")</f>
        <v>0</v>
      </c>
      <c r="O9" s="108">
        <f>IFERROR(INDEX(lifespans_all!O$2:O$56,MATCH($A9,lifespans_all!$A$2:$A$56,0))*INDEX(SR_mission_minutes!O$2:O$43,MATCH($A9,SR_mission_minutes!$A$2:$A$43)),"-")</f>
        <v>0</v>
      </c>
      <c r="P9" s="108">
        <f>IFERROR(INDEX(lifespans_all!P$2:P$56,MATCH($A9,lifespans_all!$A$2:$A$56,0))*INDEX(SR_mission_minutes!P$2:P$43,MATCH($A9,SR_mission_minutes!$A$2:$A$43)),"-")</f>
        <v>0</v>
      </c>
      <c r="Q9" s="108">
        <f>IFERROR(INDEX(lifespans_all!Q$2:Q$56,MATCH($A9,lifespans_all!$A$2:$A$56,0))*INDEX(SR_mission_minutes!Q$2:Q$43,MATCH($A9,SR_mission_minutes!$A$2:$A$43)),"-")</f>
        <v>0</v>
      </c>
      <c r="R9" s="108">
        <f>IFERROR(INDEX(lifespans_all!R$2:R$56,MATCH($A9,lifespans_all!$A$2:$A$56,0))*INDEX(SR_mission_minutes!R$2:R$43,MATCH($A9,SR_mission_minutes!$A$2:$A$43)),"-")</f>
        <v>0</v>
      </c>
      <c r="S9" s="108">
        <f>IFERROR(INDEX(lifespans_all!S$2:S$56,MATCH($A9,lifespans_all!$A$2:$A$56,0))*INDEX(SR_mission_minutes!S$2:S$43,MATCH($A9,SR_mission_minutes!$A$2:$A$43)),"-")</f>
        <v>0</v>
      </c>
      <c r="T9" s="108">
        <f>IFERROR(INDEX(lifespans_all!T$2:T$56,MATCH($A9,lifespans_all!$A$2:$A$56,0))*INDEX(SR_mission_minutes!T$2:T$43,MATCH($A9,SR_mission_minutes!$A$2:$A$43)),"-")</f>
        <v>0</v>
      </c>
      <c r="U9" s="108">
        <f>IFERROR(INDEX(lifespans_all!U$2:U$56,MATCH($A9,lifespans_all!$A$2:$A$56,0))*INDEX(SR_mission_minutes!U$2:U$43,MATCH($A9,SR_mission_minutes!$A$2:$A$43)),"-")</f>
        <v>0</v>
      </c>
      <c r="V9" s="108">
        <f>IFERROR(INDEX(lifespans_all!V$2:V$56,MATCH($A9,lifespans_all!$A$2:$A$56,0))*INDEX(SR_mission_minutes!V$2:V$43,MATCH($A9,SR_mission_minutes!$A$2:$A$43)),"-")</f>
        <v>0</v>
      </c>
    </row>
    <row r="10" spans="1:23" x14ac:dyDescent="0.25">
      <c r="A10" s="32" t="s">
        <v>20</v>
      </c>
      <c r="B10" s="32" t="s">
        <v>41</v>
      </c>
      <c r="C10" s="108">
        <f>IFERROR(INDEX(lifespans_all!C$2:C$56,MATCH($A10,lifespans_all!$A$2:$A$56,0))*INDEX(SR_mission_minutes!C$2:C$43,MATCH($A10,SR_mission_minutes!$A$2:$A$43)),"-")</f>
        <v>66700.388888888891</v>
      </c>
      <c r="D10" s="108">
        <f>IFERROR(INDEX(lifespans_all!D$2:D$56,MATCH($A10,lifespans_all!$A$2:$A$56,0))*INDEX(SR_mission_minutes!D$2:D$43,MATCH($A10,SR_mission_minutes!$A$2:$A$43)),"-")</f>
        <v>66700.388888888891</v>
      </c>
      <c r="E10" s="108">
        <f>IFERROR(INDEX(lifespans_all!E$2:E$56,MATCH($A10,lifespans_all!$A$2:$A$56,0))*INDEX(SR_mission_minutes!E$2:E$43,MATCH($A10,SR_mission_minutes!$A$2:$A$43)),"-")</f>
        <v>66700.388888888891</v>
      </c>
      <c r="F10" s="108">
        <f>IFERROR(INDEX(lifespans_all!F$2:F$56,MATCH($A10,lifespans_all!$A$2:$A$56,0))*INDEX(SR_mission_minutes!F$2:F$43,MATCH($A10,SR_mission_minutes!$A$2:$A$43)),"-")</f>
        <v>66700.388888888891</v>
      </c>
      <c r="G10" s="108">
        <f>IFERROR(INDEX(lifespans_all!G$2:G$56,MATCH($A10,lifespans_all!$A$2:$A$56,0))*INDEX(SR_mission_minutes!G$2:G$43,MATCH($A10,SR_mission_minutes!$A$2:$A$43)),"-")</f>
        <v>66700.388888888891</v>
      </c>
      <c r="H10" s="108">
        <f>IFERROR(INDEX(lifespans_all!H$2:H$56,MATCH($A10,lifespans_all!$A$2:$A$56,0))*INDEX(SR_mission_minutes!H$2:H$43,MATCH($A10,SR_mission_minutes!$A$2:$A$43)),"-")</f>
        <v>66700.388888888891</v>
      </c>
      <c r="I10" s="108">
        <f>IFERROR(INDEX(lifespans_all!I$2:I$56,MATCH($A10,lifespans_all!$A$2:$A$56,0))*INDEX(SR_mission_minutes!I$2:I$43,MATCH($A10,SR_mission_minutes!$A$2:$A$43)),"-")</f>
        <v>66700.388888888891</v>
      </c>
      <c r="J10" s="108">
        <f>IFERROR(INDEX(lifespans_all!J$2:J$56,MATCH($A10,lifespans_all!$A$2:$A$56,0))*INDEX(SR_mission_minutes!J$2:J$43,MATCH($A10,SR_mission_minutes!$A$2:$A$43)),"-")</f>
        <v>66700.388888888891</v>
      </c>
      <c r="K10" s="108">
        <f>IFERROR(INDEX(lifespans_all!K$2:K$56,MATCH($A10,lifespans_all!$A$2:$A$56,0))*INDEX(SR_mission_minutes!K$2:K$43,MATCH($A10,SR_mission_minutes!$A$2:$A$43)),"-")</f>
        <v>66700.388888888891</v>
      </c>
      <c r="L10" s="108">
        <f>IFERROR(INDEX(lifespans_all!L$2:L$56,MATCH($A10,lifespans_all!$A$2:$A$56,0))*INDEX(SR_mission_minutes!L$2:L$43,MATCH($A10,SR_mission_minutes!$A$2:$A$43)),"-")</f>
        <v>66700.388888888891</v>
      </c>
      <c r="M10" s="108">
        <f>IFERROR(INDEX(lifespans_all!M$2:M$56,MATCH($A10,lifespans_all!$A$2:$A$56,0))*INDEX(SR_mission_minutes!M$2:M$43,MATCH($A10,SR_mission_minutes!$A$2:$A$43)),"-")</f>
        <v>66700.388888888891</v>
      </c>
      <c r="N10" s="108">
        <f>IFERROR(INDEX(lifespans_all!N$2:N$56,MATCH($A10,lifespans_all!$A$2:$A$56,0))*INDEX(SR_mission_minutes!N$2:N$43,MATCH($A10,SR_mission_minutes!$A$2:$A$43)),"-")</f>
        <v>66700.388888888891</v>
      </c>
      <c r="O10" s="108">
        <f>IFERROR(INDEX(lifespans_all!O$2:O$56,MATCH($A10,lifespans_all!$A$2:$A$56,0))*INDEX(SR_mission_minutes!O$2:O$43,MATCH($A10,SR_mission_minutes!$A$2:$A$43)),"-")</f>
        <v>66700.388888888891</v>
      </c>
      <c r="P10" s="108">
        <f>IFERROR(INDEX(lifespans_all!P$2:P$56,MATCH($A10,lifespans_all!$A$2:$A$56,0))*INDEX(SR_mission_minutes!P$2:P$43,MATCH($A10,SR_mission_minutes!$A$2:$A$43)),"-")</f>
        <v>66700.388888888891</v>
      </c>
      <c r="Q10" s="108">
        <f>IFERROR(INDEX(lifespans_all!Q$2:Q$56,MATCH($A10,lifespans_all!$A$2:$A$56,0))*INDEX(SR_mission_minutes!Q$2:Q$43,MATCH($A10,SR_mission_minutes!$A$2:$A$43)),"-")</f>
        <v>66700.388888888891</v>
      </c>
      <c r="R10" s="108">
        <f>IFERROR(INDEX(lifespans_all!R$2:R$56,MATCH($A10,lifespans_all!$A$2:$A$56,0))*INDEX(SR_mission_minutes!R$2:R$43,MATCH($A10,SR_mission_minutes!$A$2:$A$43)),"-")</f>
        <v>66700.388888888891</v>
      </c>
      <c r="S10" s="108">
        <f>IFERROR(INDEX(lifespans_all!S$2:S$56,MATCH($A10,lifespans_all!$A$2:$A$56,0))*INDEX(SR_mission_minutes!S$2:S$43,MATCH($A10,SR_mission_minutes!$A$2:$A$43)),"-")</f>
        <v>66700.388888888891</v>
      </c>
      <c r="T10" s="108">
        <f>IFERROR(INDEX(lifespans_all!T$2:T$56,MATCH($A10,lifespans_all!$A$2:$A$56,0))*INDEX(SR_mission_minutes!T$2:T$43,MATCH($A10,SR_mission_minutes!$A$2:$A$43)),"-")</f>
        <v>66700.388888888891</v>
      </c>
      <c r="U10" s="108">
        <f>IFERROR(INDEX(lifespans_all!U$2:U$56,MATCH($A10,lifespans_all!$A$2:$A$56,0))*INDEX(SR_mission_minutes!U$2:U$43,MATCH($A10,SR_mission_minutes!$A$2:$A$43)),"-")</f>
        <v>66700.388888888891</v>
      </c>
      <c r="V10" s="108">
        <f>IFERROR(INDEX(lifespans_all!V$2:V$56,MATCH($A10,lifespans_all!$A$2:$A$56,0))*INDEX(SR_mission_minutes!V$2:V$43,MATCH($A10,SR_mission_minutes!$A$2:$A$43)),"-")</f>
        <v>66700.388888888891</v>
      </c>
    </row>
    <row r="11" spans="1:23" x14ac:dyDescent="0.25">
      <c r="A11" s="32" t="s">
        <v>21</v>
      </c>
      <c r="B11" s="32" t="s">
        <v>41</v>
      </c>
      <c r="C11" s="108">
        <f>IFERROR(INDEX(lifespans_all!C$2:C$56,MATCH($A11,lifespans_all!$A$2:$A$56,0))*INDEX(SR_mission_minutes!C$2:C$43,MATCH($A11,SR_mission_minutes!$A$2:$A$43)),"-")</f>
        <v>66700.388888888891</v>
      </c>
      <c r="D11" s="108">
        <f>IFERROR(INDEX(lifespans_all!D$2:D$56,MATCH($A11,lifespans_all!$A$2:$A$56,0))*INDEX(SR_mission_minutes!D$2:D$43,MATCH($A11,SR_mission_minutes!$A$2:$A$43)),"-")</f>
        <v>66700.388888888891</v>
      </c>
      <c r="E11" s="108">
        <f>IFERROR(INDEX(lifespans_all!E$2:E$56,MATCH($A11,lifespans_all!$A$2:$A$56,0))*INDEX(SR_mission_minutes!E$2:E$43,MATCH($A11,SR_mission_minutes!$A$2:$A$43)),"-")</f>
        <v>66700.388888888891</v>
      </c>
      <c r="F11" s="108">
        <f>IFERROR(INDEX(lifespans_all!F$2:F$56,MATCH($A11,lifespans_all!$A$2:$A$56,0))*INDEX(SR_mission_minutes!F$2:F$43,MATCH($A11,SR_mission_minutes!$A$2:$A$43)),"-")</f>
        <v>66700.388888888891</v>
      </c>
      <c r="G11" s="108">
        <f>IFERROR(INDEX(lifespans_all!G$2:G$56,MATCH($A11,lifespans_all!$A$2:$A$56,0))*INDEX(SR_mission_minutes!G$2:G$43,MATCH($A11,SR_mission_minutes!$A$2:$A$43)),"-")</f>
        <v>66700.388888888891</v>
      </c>
      <c r="H11" s="108">
        <f>IFERROR(INDEX(lifespans_all!H$2:H$56,MATCH($A11,lifespans_all!$A$2:$A$56,0))*INDEX(SR_mission_minutes!H$2:H$43,MATCH($A11,SR_mission_minutes!$A$2:$A$43)),"-")</f>
        <v>0</v>
      </c>
      <c r="I11" s="108">
        <f>IFERROR(INDEX(lifespans_all!I$2:I$56,MATCH($A11,lifespans_all!$A$2:$A$56,0))*INDEX(SR_mission_minutes!I$2:I$43,MATCH($A11,SR_mission_minutes!$A$2:$A$43)),"-")</f>
        <v>0</v>
      </c>
      <c r="J11" s="108">
        <f>IFERROR(INDEX(lifespans_all!J$2:J$56,MATCH($A11,lifespans_all!$A$2:$A$56,0))*INDEX(SR_mission_minutes!J$2:J$43,MATCH($A11,SR_mission_minutes!$A$2:$A$43)),"-")</f>
        <v>0</v>
      </c>
      <c r="K11" s="108">
        <f>IFERROR(INDEX(lifespans_all!K$2:K$56,MATCH($A11,lifespans_all!$A$2:$A$56,0))*INDEX(SR_mission_minutes!K$2:K$43,MATCH($A11,SR_mission_minutes!$A$2:$A$43)),"-")</f>
        <v>0</v>
      </c>
      <c r="L11" s="108">
        <f>IFERROR(INDEX(lifespans_all!L$2:L$56,MATCH($A11,lifespans_all!$A$2:$A$56,0))*INDEX(SR_mission_minutes!L$2:L$43,MATCH($A11,SR_mission_minutes!$A$2:$A$43)),"-")</f>
        <v>0</v>
      </c>
      <c r="M11" s="108">
        <f>IFERROR(INDEX(lifespans_all!M$2:M$56,MATCH($A11,lifespans_all!$A$2:$A$56,0))*INDEX(SR_mission_minutes!M$2:M$43,MATCH($A11,SR_mission_minutes!$A$2:$A$43)),"-")</f>
        <v>0</v>
      </c>
      <c r="N11" s="108">
        <f>IFERROR(INDEX(lifespans_all!N$2:N$56,MATCH($A11,lifespans_all!$A$2:$A$56,0))*INDEX(SR_mission_minutes!N$2:N$43,MATCH($A11,SR_mission_minutes!$A$2:$A$43)),"-")</f>
        <v>0</v>
      </c>
      <c r="O11" s="108">
        <f>IFERROR(INDEX(lifespans_all!O$2:O$56,MATCH($A11,lifespans_all!$A$2:$A$56,0))*INDEX(SR_mission_minutes!O$2:O$43,MATCH($A11,SR_mission_minutes!$A$2:$A$43)),"-")</f>
        <v>0</v>
      </c>
      <c r="P11" s="108">
        <f>IFERROR(INDEX(lifespans_all!P$2:P$56,MATCH($A11,lifespans_all!$A$2:$A$56,0))*INDEX(SR_mission_minutes!P$2:P$43,MATCH($A11,SR_mission_minutes!$A$2:$A$43)),"-")</f>
        <v>0</v>
      </c>
      <c r="Q11" s="108">
        <f>IFERROR(INDEX(lifespans_all!Q$2:Q$56,MATCH($A11,lifespans_all!$A$2:$A$56,0))*INDEX(SR_mission_minutes!Q$2:Q$43,MATCH($A11,SR_mission_minutes!$A$2:$A$43)),"-")</f>
        <v>0</v>
      </c>
      <c r="R11" s="108">
        <f>IFERROR(INDEX(lifespans_all!R$2:R$56,MATCH($A11,lifespans_all!$A$2:$A$56,0))*INDEX(SR_mission_minutes!R$2:R$43,MATCH($A11,SR_mission_minutes!$A$2:$A$43)),"-")</f>
        <v>0</v>
      </c>
      <c r="S11" s="108">
        <f>IFERROR(INDEX(lifespans_all!S$2:S$56,MATCH($A11,lifespans_all!$A$2:$A$56,0))*INDEX(SR_mission_minutes!S$2:S$43,MATCH($A11,SR_mission_minutes!$A$2:$A$43)),"-")</f>
        <v>0</v>
      </c>
      <c r="T11" s="108">
        <f>IFERROR(INDEX(lifespans_all!T$2:T$56,MATCH($A11,lifespans_all!$A$2:$A$56,0))*INDEX(SR_mission_minutes!T$2:T$43,MATCH($A11,SR_mission_minutes!$A$2:$A$43)),"-")</f>
        <v>0</v>
      </c>
      <c r="U11" s="108">
        <f>IFERROR(INDEX(lifespans_all!U$2:U$56,MATCH($A11,lifespans_all!$A$2:$A$56,0))*INDEX(SR_mission_minutes!U$2:U$43,MATCH($A11,SR_mission_minutes!$A$2:$A$43)),"-")</f>
        <v>0</v>
      </c>
      <c r="V11" s="108">
        <f>IFERROR(INDEX(lifespans_all!V$2:V$56,MATCH($A11,lifespans_all!$A$2:$A$56,0))*INDEX(SR_mission_minutes!V$2:V$43,MATCH($A11,SR_mission_minutes!$A$2:$A$43)),"-")</f>
        <v>0</v>
      </c>
    </row>
    <row r="12" spans="1:23" x14ac:dyDescent="0.25">
      <c r="A12" s="32" t="s">
        <v>57</v>
      </c>
      <c r="B12" s="32" t="s">
        <v>41</v>
      </c>
      <c r="C12" s="108">
        <f>IFERROR(INDEX(lifespans_all!C$2:C$56,MATCH($A12,lifespans_all!$A$2:$A$56,0))*INDEX(SR_mission_minutes!C$2:C$43,MATCH($A12,SR_mission_minutes!$A$2:$A$43)),"-")</f>
        <v>66700.388888888891</v>
      </c>
      <c r="D12" s="108">
        <f>IFERROR(INDEX(lifespans_all!D$2:D$56,MATCH($A12,lifespans_all!$A$2:$A$56,0))*INDEX(SR_mission_minutes!D$2:D$43,MATCH($A12,SR_mission_minutes!$A$2:$A$43)),"-")</f>
        <v>66700.388888888891</v>
      </c>
      <c r="E12" s="108">
        <f>IFERROR(INDEX(lifespans_all!E$2:E$56,MATCH($A12,lifespans_all!$A$2:$A$56,0))*INDEX(SR_mission_minutes!E$2:E$43,MATCH($A12,SR_mission_minutes!$A$2:$A$43)),"-")</f>
        <v>66700.388888888891</v>
      </c>
      <c r="F12" s="108">
        <f>IFERROR(INDEX(lifespans_all!F$2:F$56,MATCH($A12,lifespans_all!$A$2:$A$56,0))*INDEX(SR_mission_minutes!F$2:F$43,MATCH($A12,SR_mission_minutes!$A$2:$A$43)),"-")</f>
        <v>66700.388888888891</v>
      </c>
      <c r="G12" s="108">
        <f>IFERROR(INDEX(lifespans_all!G$2:G$56,MATCH($A12,lifespans_all!$A$2:$A$56,0))*INDEX(SR_mission_minutes!G$2:G$43,MATCH($A12,SR_mission_minutes!$A$2:$A$43)),"-")</f>
        <v>66700.388888888891</v>
      </c>
      <c r="H12" s="108">
        <f>IFERROR(INDEX(lifespans_all!H$2:H$56,MATCH($A12,lifespans_all!$A$2:$A$56,0))*INDEX(SR_mission_minutes!H$2:H$43,MATCH($A12,SR_mission_minutes!$A$2:$A$43)),"-")</f>
        <v>0</v>
      </c>
      <c r="I12" s="108">
        <f>IFERROR(INDEX(lifespans_all!I$2:I$56,MATCH($A12,lifespans_all!$A$2:$A$56,0))*INDEX(SR_mission_minutes!I$2:I$43,MATCH($A12,SR_mission_minutes!$A$2:$A$43)),"-")</f>
        <v>0</v>
      </c>
      <c r="J12" s="108">
        <f>IFERROR(INDEX(lifespans_all!J$2:J$56,MATCH($A12,lifespans_all!$A$2:$A$56,0))*INDEX(SR_mission_minutes!J$2:J$43,MATCH($A12,SR_mission_minutes!$A$2:$A$43)),"-")</f>
        <v>0</v>
      </c>
      <c r="K12" s="108">
        <f>IFERROR(INDEX(lifespans_all!K$2:K$56,MATCH($A12,lifespans_all!$A$2:$A$56,0))*INDEX(SR_mission_minutes!K$2:K$43,MATCH($A12,SR_mission_minutes!$A$2:$A$43)),"-")</f>
        <v>0</v>
      </c>
      <c r="L12" s="108">
        <f>IFERROR(INDEX(lifespans_all!L$2:L$56,MATCH($A12,lifespans_all!$A$2:$A$56,0))*INDEX(SR_mission_minutes!L$2:L$43,MATCH($A12,SR_mission_minutes!$A$2:$A$43)),"-")</f>
        <v>0</v>
      </c>
      <c r="M12" s="108">
        <f>IFERROR(INDEX(lifespans_all!M$2:M$56,MATCH($A12,lifespans_all!$A$2:$A$56,0))*INDEX(SR_mission_minutes!M$2:M$43,MATCH($A12,SR_mission_minutes!$A$2:$A$43)),"-")</f>
        <v>0</v>
      </c>
      <c r="N12" s="108">
        <f>IFERROR(INDEX(lifespans_all!N$2:N$56,MATCH($A12,lifespans_all!$A$2:$A$56,0))*INDEX(SR_mission_minutes!N$2:N$43,MATCH($A12,SR_mission_minutes!$A$2:$A$43)),"-")</f>
        <v>0</v>
      </c>
      <c r="O12" s="108">
        <f>IFERROR(INDEX(lifespans_all!O$2:O$56,MATCH($A12,lifespans_all!$A$2:$A$56,0))*INDEX(SR_mission_minutes!O$2:O$43,MATCH($A12,SR_mission_minutes!$A$2:$A$43)),"-")</f>
        <v>0</v>
      </c>
      <c r="P12" s="108">
        <f>IFERROR(INDEX(lifespans_all!P$2:P$56,MATCH($A12,lifespans_all!$A$2:$A$56,0))*INDEX(SR_mission_minutes!P$2:P$43,MATCH($A12,SR_mission_minutes!$A$2:$A$43)),"-")</f>
        <v>0</v>
      </c>
      <c r="Q12" s="108">
        <f>IFERROR(INDEX(lifespans_all!Q$2:Q$56,MATCH($A12,lifespans_all!$A$2:$A$56,0))*INDEX(SR_mission_minutes!Q$2:Q$43,MATCH($A12,SR_mission_minutes!$A$2:$A$43)),"-")</f>
        <v>0</v>
      </c>
      <c r="R12" s="108">
        <f>IFERROR(INDEX(lifespans_all!R$2:R$56,MATCH($A12,lifespans_all!$A$2:$A$56,0))*INDEX(SR_mission_minutes!R$2:R$43,MATCH($A12,SR_mission_minutes!$A$2:$A$43)),"-")</f>
        <v>0</v>
      </c>
      <c r="S12" s="108">
        <f>IFERROR(INDEX(lifespans_all!S$2:S$56,MATCH($A12,lifespans_all!$A$2:$A$56,0))*INDEX(SR_mission_minutes!S$2:S$43,MATCH($A12,SR_mission_minutes!$A$2:$A$43)),"-")</f>
        <v>0</v>
      </c>
      <c r="T12" s="108">
        <f>IFERROR(INDEX(lifespans_all!T$2:T$56,MATCH($A12,lifespans_all!$A$2:$A$56,0))*INDEX(SR_mission_minutes!T$2:T$43,MATCH($A12,SR_mission_minutes!$A$2:$A$43)),"-")</f>
        <v>0</v>
      </c>
      <c r="U12" s="108">
        <f>IFERROR(INDEX(lifespans_all!U$2:U$56,MATCH($A12,lifespans_all!$A$2:$A$56,0))*INDEX(SR_mission_minutes!U$2:U$43,MATCH($A12,SR_mission_minutes!$A$2:$A$43)),"-")</f>
        <v>0</v>
      </c>
      <c r="V12" s="108">
        <f>IFERROR(INDEX(lifespans_all!V$2:V$56,MATCH($A12,lifespans_all!$A$2:$A$56,0))*INDEX(SR_mission_minutes!V$2:V$43,MATCH($A12,SR_mission_minutes!$A$2:$A$43)),"-")</f>
        <v>0</v>
      </c>
    </row>
    <row r="13" spans="1:23" x14ac:dyDescent="0.25">
      <c r="A13" s="32" t="s">
        <v>22</v>
      </c>
      <c r="B13" s="32" t="s">
        <v>41</v>
      </c>
      <c r="C13" s="108">
        <f>IFERROR(INDEX(lifespans_all!C$2:C$56,MATCH($A13,lifespans_all!$A$2:$A$56,0))*INDEX(SR_mission_minutes!C$2:C$43,MATCH($A13,SR_mission_minutes!$A$2:$A$43)),"-")</f>
        <v>66700.388888888891</v>
      </c>
      <c r="D13" s="108">
        <f>IFERROR(INDEX(lifespans_all!D$2:D$56,MATCH($A13,lifespans_all!$A$2:$A$56,0))*INDEX(SR_mission_minutes!D$2:D$43,MATCH($A13,SR_mission_minutes!$A$2:$A$43)),"-")</f>
        <v>66700.388888888891</v>
      </c>
      <c r="E13" s="108">
        <f>IFERROR(INDEX(lifespans_all!E$2:E$56,MATCH($A13,lifespans_all!$A$2:$A$56,0))*INDEX(SR_mission_minutes!E$2:E$43,MATCH($A13,SR_mission_minutes!$A$2:$A$43)),"-")</f>
        <v>66700.388888888891</v>
      </c>
      <c r="F13" s="108">
        <f>IFERROR(INDEX(lifespans_all!F$2:F$56,MATCH($A13,lifespans_all!$A$2:$A$56,0))*INDEX(SR_mission_minutes!F$2:F$43,MATCH($A13,SR_mission_minutes!$A$2:$A$43)),"-")</f>
        <v>66700.388888888891</v>
      </c>
      <c r="G13" s="108">
        <f>IFERROR(INDEX(lifespans_all!G$2:G$56,MATCH($A13,lifespans_all!$A$2:$A$56,0))*INDEX(SR_mission_minutes!G$2:G$43,MATCH($A13,SR_mission_minutes!$A$2:$A$43)),"-")</f>
        <v>0</v>
      </c>
      <c r="H13" s="108">
        <f>IFERROR(INDEX(lifespans_all!H$2:H$56,MATCH($A13,lifespans_all!$A$2:$A$56,0))*INDEX(SR_mission_minutes!H$2:H$43,MATCH($A13,SR_mission_minutes!$A$2:$A$43)),"-")</f>
        <v>0</v>
      </c>
      <c r="I13" s="108">
        <f>IFERROR(INDEX(lifespans_all!I$2:I$56,MATCH($A13,lifespans_all!$A$2:$A$56,0))*INDEX(SR_mission_minutes!I$2:I$43,MATCH($A13,SR_mission_minutes!$A$2:$A$43)),"-")</f>
        <v>0</v>
      </c>
      <c r="J13" s="108">
        <f>IFERROR(INDEX(lifespans_all!J$2:J$56,MATCH($A13,lifespans_all!$A$2:$A$56,0))*INDEX(SR_mission_minutes!J$2:J$43,MATCH($A13,SR_mission_minutes!$A$2:$A$43)),"-")</f>
        <v>0</v>
      </c>
      <c r="K13" s="108">
        <f>IFERROR(INDEX(lifespans_all!K$2:K$56,MATCH($A13,lifespans_all!$A$2:$A$56,0))*INDEX(SR_mission_minutes!K$2:K$43,MATCH($A13,SR_mission_minutes!$A$2:$A$43)),"-")</f>
        <v>0</v>
      </c>
      <c r="L13" s="108">
        <f>IFERROR(INDEX(lifespans_all!L$2:L$56,MATCH($A13,lifespans_all!$A$2:$A$56,0))*INDEX(SR_mission_minutes!L$2:L$43,MATCH($A13,SR_mission_minutes!$A$2:$A$43)),"-")</f>
        <v>0</v>
      </c>
      <c r="M13" s="108">
        <f>IFERROR(INDEX(lifespans_all!M$2:M$56,MATCH($A13,lifespans_all!$A$2:$A$56,0))*INDEX(SR_mission_minutes!M$2:M$43,MATCH($A13,SR_mission_minutes!$A$2:$A$43)),"-")</f>
        <v>0</v>
      </c>
      <c r="N13" s="108">
        <f>IFERROR(INDEX(lifespans_all!N$2:N$56,MATCH($A13,lifespans_all!$A$2:$A$56,0))*INDEX(SR_mission_minutes!N$2:N$43,MATCH($A13,SR_mission_minutes!$A$2:$A$43)),"-")</f>
        <v>0</v>
      </c>
      <c r="O13" s="108">
        <f>IFERROR(INDEX(lifespans_all!O$2:O$56,MATCH($A13,lifespans_all!$A$2:$A$56,0))*INDEX(SR_mission_minutes!O$2:O$43,MATCH($A13,SR_mission_minutes!$A$2:$A$43)),"-")</f>
        <v>0</v>
      </c>
      <c r="P13" s="108">
        <f>IFERROR(INDEX(lifespans_all!P$2:P$56,MATCH($A13,lifespans_all!$A$2:$A$56,0))*INDEX(SR_mission_minutes!P$2:P$43,MATCH($A13,SR_mission_minutes!$A$2:$A$43)),"-")</f>
        <v>0</v>
      </c>
      <c r="Q13" s="108">
        <f>IFERROR(INDEX(lifespans_all!Q$2:Q$56,MATCH($A13,lifespans_all!$A$2:$A$56,0))*INDEX(SR_mission_minutes!Q$2:Q$43,MATCH($A13,SR_mission_minutes!$A$2:$A$43)),"-")</f>
        <v>0</v>
      </c>
      <c r="R13" s="108">
        <f>IFERROR(INDEX(lifespans_all!R$2:R$56,MATCH($A13,lifespans_all!$A$2:$A$56,0))*INDEX(SR_mission_minutes!R$2:R$43,MATCH($A13,SR_mission_minutes!$A$2:$A$43)),"-")</f>
        <v>0</v>
      </c>
      <c r="S13" s="108">
        <f>IFERROR(INDEX(lifespans_all!S$2:S$56,MATCH($A13,lifespans_all!$A$2:$A$56,0))*INDEX(SR_mission_minutes!S$2:S$43,MATCH($A13,SR_mission_minutes!$A$2:$A$43)),"-")</f>
        <v>0</v>
      </c>
      <c r="T13" s="108">
        <f>IFERROR(INDEX(lifespans_all!T$2:T$56,MATCH($A13,lifespans_all!$A$2:$A$56,0))*INDEX(SR_mission_minutes!T$2:T$43,MATCH($A13,SR_mission_minutes!$A$2:$A$43)),"-")</f>
        <v>0</v>
      </c>
      <c r="U13" s="108">
        <f>IFERROR(INDEX(lifespans_all!U$2:U$56,MATCH($A13,lifespans_all!$A$2:$A$56,0))*INDEX(SR_mission_minutes!U$2:U$43,MATCH($A13,SR_mission_minutes!$A$2:$A$43)),"-")</f>
        <v>0</v>
      </c>
      <c r="V13" s="108">
        <f>IFERROR(INDEX(lifespans_all!V$2:V$56,MATCH($A13,lifespans_all!$A$2:$A$56,0))*INDEX(SR_mission_minutes!V$2:V$43,MATCH($A13,SR_mission_minutes!$A$2:$A$43)),"-")</f>
        <v>0</v>
      </c>
    </row>
    <row r="14" spans="1:23" x14ac:dyDescent="0.25">
      <c r="A14" s="32" t="s">
        <v>23</v>
      </c>
      <c r="B14" s="32" t="s">
        <v>43</v>
      </c>
      <c r="C14" s="108">
        <f>IFERROR(INDEX(lifespans_all!C$2:C$56,MATCH($A14,lifespans_all!$A$2:$A$56,0))*INDEX(SR_mission_minutes!C$2:C$43,MATCH($A14,SR_mission_minutes!$A$2:$A$43)),"-")</f>
        <v>114879</v>
      </c>
      <c r="D14" s="108">
        <f>IFERROR(INDEX(lifespans_all!D$2:D$56,MATCH($A14,lifespans_all!$A$2:$A$56,0))*INDEX(SR_mission_minutes!D$2:D$43,MATCH($A14,SR_mission_minutes!$A$2:$A$43)),"-")</f>
        <v>114879</v>
      </c>
      <c r="E14" s="108">
        <f>IFERROR(INDEX(lifespans_all!E$2:E$56,MATCH($A14,lifespans_all!$A$2:$A$56,0))*INDEX(SR_mission_minutes!E$2:E$43,MATCH($A14,SR_mission_minutes!$A$2:$A$43)),"-")</f>
        <v>114879</v>
      </c>
      <c r="F14" s="108">
        <f>IFERROR(INDEX(lifespans_all!F$2:F$56,MATCH($A14,lifespans_all!$A$2:$A$56,0))*INDEX(SR_mission_minutes!F$2:F$43,MATCH($A14,SR_mission_minutes!$A$2:$A$43)),"-")</f>
        <v>114879</v>
      </c>
      <c r="G14" s="108">
        <f>IFERROR(INDEX(lifespans_all!G$2:G$56,MATCH($A14,lifespans_all!$A$2:$A$56,0))*INDEX(SR_mission_minutes!G$2:G$43,MATCH($A14,SR_mission_minutes!$A$2:$A$43)),"-")</f>
        <v>114879</v>
      </c>
      <c r="H14" s="108">
        <f>IFERROR(INDEX(lifespans_all!H$2:H$56,MATCH($A14,lifespans_all!$A$2:$A$56,0))*INDEX(SR_mission_minutes!H$2:H$43,MATCH($A14,SR_mission_minutes!$A$2:$A$43)),"-")</f>
        <v>114879</v>
      </c>
      <c r="I14" s="108">
        <f>IFERROR(INDEX(lifespans_all!I$2:I$56,MATCH($A14,lifespans_all!$A$2:$A$56,0))*INDEX(SR_mission_minutes!I$2:I$43,MATCH($A14,SR_mission_minutes!$A$2:$A$43)),"-")</f>
        <v>114879</v>
      </c>
      <c r="J14" s="108">
        <f>IFERROR(INDEX(lifespans_all!J$2:J$56,MATCH($A14,lifespans_all!$A$2:$A$56,0))*INDEX(SR_mission_minutes!J$2:J$43,MATCH($A14,SR_mission_minutes!$A$2:$A$43)),"-")</f>
        <v>114879</v>
      </c>
      <c r="K14" s="108">
        <f>IFERROR(INDEX(lifespans_all!K$2:K$56,MATCH($A14,lifespans_all!$A$2:$A$56,0))*INDEX(SR_mission_minutes!K$2:K$43,MATCH($A14,SR_mission_minutes!$A$2:$A$43)),"-")</f>
        <v>114879</v>
      </c>
      <c r="L14" s="108">
        <f>IFERROR(INDEX(lifespans_all!L$2:L$56,MATCH($A14,lifespans_all!$A$2:$A$56,0))*INDEX(SR_mission_minutes!L$2:L$43,MATCH($A14,SR_mission_minutes!$A$2:$A$43)),"-")</f>
        <v>114879</v>
      </c>
      <c r="M14" s="108">
        <f>IFERROR(INDEX(lifespans_all!M$2:M$56,MATCH($A14,lifespans_all!$A$2:$A$56,0))*INDEX(SR_mission_minutes!M$2:M$43,MATCH($A14,SR_mission_minutes!$A$2:$A$43)),"-")</f>
        <v>0</v>
      </c>
      <c r="N14" s="108">
        <f>IFERROR(INDEX(lifespans_all!N$2:N$56,MATCH($A14,lifespans_all!$A$2:$A$56,0))*INDEX(SR_mission_minutes!N$2:N$43,MATCH($A14,SR_mission_minutes!$A$2:$A$43)),"-")</f>
        <v>0</v>
      </c>
      <c r="O14" s="108">
        <f>IFERROR(INDEX(lifespans_all!O$2:O$56,MATCH($A14,lifespans_all!$A$2:$A$56,0))*INDEX(SR_mission_minutes!O$2:O$43,MATCH($A14,SR_mission_minutes!$A$2:$A$43)),"-")</f>
        <v>0</v>
      </c>
      <c r="P14" s="108">
        <f>IFERROR(INDEX(lifespans_all!P$2:P$56,MATCH($A14,lifespans_all!$A$2:$A$56,0))*INDEX(SR_mission_minutes!P$2:P$43,MATCH($A14,SR_mission_minutes!$A$2:$A$43)),"-")</f>
        <v>0</v>
      </c>
      <c r="Q14" s="108">
        <f>IFERROR(INDEX(lifespans_all!Q$2:Q$56,MATCH($A14,lifespans_all!$A$2:$A$56,0))*INDEX(SR_mission_minutes!Q$2:Q$43,MATCH($A14,SR_mission_minutes!$A$2:$A$43)),"-")</f>
        <v>0</v>
      </c>
      <c r="R14" s="108">
        <f>IFERROR(INDEX(lifespans_all!R$2:R$56,MATCH($A14,lifespans_all!$A$2:$A$56,0))*INDEX(SR_mission_minutes!R$2:R$43,MATCH($A14,SR_mission_minutes!$A$2:$A$43)),"-")</f>
        <v>0</v>
      </c>
      <c r="S14" s="108">
        <f>IFERROR(INDEX(lifespans_all!S$2:S$56,MATCH($A14,lifespans_all!$A$2:$A$56,0))*INDEX(SR_mission_minutes!S$2:S$43,MATCH($A14,SR_mission_minutes!$A$2:$A$43)),"-")</f>
        <v>0</v>
      </c>
      <c r="T14" s="108">
        <f>IFERROR(INDEX(lifespans_all!T$2:T$56,MATCH($A14,lifespans_all!$A$2:$A$56,0))*INDEX(SR_mission_minutes!T$2:T$43,MATCH($A14,SR_mission_minutes!$A$2:$A$43)),"-")</f>
        <v>0</v>
      </c>
      <c r="U14" s="108">
        <f>IFERROR(INDEX(lifespans_all!U$2:U$56,MATCH($A14,lifespans_all!$A$2:$A$56,0))*INDEX(SR_mission_minutes!U$2:U$43,MATCH($A14,SR_mission_minutes!$A$2:$A$43)),"-")</f>
        <v>0</v>
      </c>
      <c r="V14" s="108">
        <f>IFERROR(INDEX(lifespans_all!V$2:V$56,MATCH($A14,lifespans_all!$A$2:$A$56,0))*INDEX(SR_mission_minutes!V$2:V$43,MATCH($A14,SR_mission_minutes!$A$2:$A$43)),"-")</f>
        <v>0</v>
      </c>
    </row>
    <row r="15" spans="1:23" x14ac:dyDescent="0.25">
      <c r="A15" s="32" t="s">
        <v>24</v>
      </c>
      <c r="B15" s="32" t="s">
        <v>42</v>
      </c>
      <c r="C15" s="108">
        <f>IFERROR(INDEX(lifespans_all!C$2:C$56,MATCH($A15,lifespans_all!$A$2:$A$56,0))*INDEX(SR_mission_minutes!C$2:C$43,MATCH($A15,SR_mission_minutes!$A$2:$A$43)),"-")</f>
        <v>0</v>
      </c>
      <c r="D15" s="108">
        <f>IFERROR(INDEX(lifespans_all!D$2:D$56,MATCH($A15,lifespans_all!$A$2:$A$56,0))*INDEX(SR_mission_minutes!D$2:D$43,MATCH($A15,SR_mission_minutes!$A$2:$A$43)),"-")</f>
        <v>0</v>
      </c>
      <c r="E15" s="108">
        <f>IFERROR(INDEX(lifespans_all!E$2:E$56,MATCH($A15,lifespans_all!$A$2:$A$56,0))*INDEX(SR_mission_minutes!E$2:E$43,MATCH($A15,SR_mission_minutes!$A$2:$A$43)),"-")</f>
        <v>0</v>
      </c>
      <c r="F15" s="108">
        <f>IFERROR(INDEX(lifespans_all!F$2:F$56,MATCH($A15,lifespans_all!$A$2:$A$56,0))*INDEX(SR_mission_minutes!F$2:F$43,MATCH($A15,SR_mission_minutes!$A$2:$A$43)),"-")</f>
        <v>0</v>
      </c>
      <c r="G15" s="108">
        <f>IFERROR(INDEX(lifespans_all!G$2:G$56,MATCH($A15,lifespans_all!$A$2:$A$56,0))*INDEX(SR_mission_minutes!G$2:G$43,MATCH($A15,SR_mission_minutes!$A$2:$A$43)),"-")</f>
        <v>0</v>
      </c>
      <c r="H15" s="108">
        <f>IFERROR(INDEX(lifespans_all!H$2:H$56,MATCH($A15,lifespans_all!$A$2:$A$56,0))*INDEX(SR_mission_minutes!H$2:H$43,MATCH($A15,SR_mission_minutes!$A$2:$A$43)),"-")</f>
        <v>0</v>
      </c>
      <c r="I15" s="108">
        <f>IFERROR(INDEX(lifespans_all!I$2:I$56,MATCH($A15,lifespans_all!$A$2:$A$56,0))*INDEX(SR_mission_minutes!I$2:I$43,MATCH($A15,SR_mission_minutes!$A$2:$A$43)),"-")</f>
        <v>0</v>
      </c>
      <c r="J15" s="108">
        <f>IFERROR(INDEX(lifespans_all!J$2:J$56,MATCH($A15,lifespans_all!$A$2:$A$56,0))*INDEX(SR_mission_minutes!J$2:J$43,MATCH($A15,SR_mission_minutes!$A$2:$A$43)),"-")</f>
        <v>0</v>
      </c>
      <c r="K15" s="108">
        <f>IFERROR(INDEX(lifespans_all!K$2:K$56,MATCH($A15,lifespans_all!$A$2:$A$56,0))*INDEX(SR_mission_minutes!K$2:K$43,MATCH($A15,SR_mission_minutes!$A$2:$A$43)),"-")</f>
        <v>0</v>
      </c>
      <c r="L15" s="108">
        <f>IFERROR(INDEX(lifespans_all!L$2:L$56,MATCH($A15,lifespans_all!$A$2:$A$56,0))*INDEX(SR_mission_minutes!L$2:L$43,MATCH($A15,SR_mission_minutes!$A$2:$A$43)),"-")</f>
        <v>0</v>
      </c>
      <c r="M15" s="108">
        <f>IFERROR(INDEX(lifespans_all!M$2:M$56,MATCH($A15,lifespans_all!$A$2:$A$56,0))*INDEX(SR_mission_minutes!M$2:M$43,MATCH($A15,SR_mission_minutes!$A$2:$A$43)),"-")</f>
        <v>0</v>
      </c>
      <c r="N15" s="108">
        <f>IFERROR(INDEX(lifespans_all!N$2:N$56,MATCH($A15,lifespans_all!$A$2:$A$56,0))*INDEX(SR_mission_minutes!N$2:N$43,MATCH($A15,SR_mission_minutes!$A$2:$A$43)),"-")</f>
        <v>0</v>
      </c>
      <c r="O15" s="108">
        <f>IFERROR(INDEX(lifespans_all!O$2:O$56,MATCH($A15,lifespans_all!$A$2:$A$56,0))*INDEX(SR_mission_minutes!O$2:O$43,MATCH($A15,SR_mission_minutes!$A$2:$A$43)),"-")</f>
        <v>0</v>
      </c>
      <c r="P15" s="108">
        <f>IFERROR(INDEX(lifespans_all!P$2:P$56,MATCH($A15,lifespans_all!$A$2:$A$56,0))*INDEX(SR_mission_minutes!P$2:P$43,MATCH($A15,SR_mission_minutes!$A$2:$A$43)),"-")</f>
        <v>0</v>
      </c>
      <c r="Q15" s="108">
        <f>IFERROR(INDEX(lifespans_all!Q$2:Q$56,MATCH($A15,lifespans_all!$A$2:$A$56,0))*INDEX(SR_mission_minutes!Q$2:Q$43,MATCH($A15,SR_mission_minutes!$A$2:$A$43)),"-")</f>
        <v>0</v>
      </c>
      <c r="R15" s="108">
        <f>IFERROR(INDEX(lifespans_all!R$2:R$56,MATCH($A15,lifespans_all!$A$2:$A$56,0))*INDEX(SR_mission_minutes!R$2:R$43,MATCH($A15,SR_mission_minutes!$A$2:$A$43)),"-")</f>
        <v>0</v>
      </c>
      <c r="S15" s="108">
        <f>IFERROR(INDEX(lifespans_all!S$2:S$56,MATCH($A15,lifespans_all!$A$2:$A$56,0))*INDEX(SR_mission_minutes!S$2:S$43,MATCH($A15,SR_mission_minutes!$A$2:$A$43)),"-")</f>
        <v>0</v>
      </c>
      <c r="T15" s="108">
        <f>IFERROR(INDEX(lifespans_all!T$2:T$56,MATCH($A15,lifespans_all!$A$2:$A$56,0))*INDEX(SR_mission_minutes!T$2:T$43,MATCH($A15,SR_mission_minutes!$A$2:$A$43)),"-")</f>
        <v>0</v>
      </c>
      <c r="U15" s="108">
        <f>IFERROR(INDEX(lifespans_all!U$2:U$56,MATCH($A15,lifespans_all!$A$2:$A$56,0))*INDEX(SR_mission_minutes!U$2:U$43,MATCH($A15,SR_mission_minutes!$A$2:$A$43)),"-")</f>
        <v>0</v>
      </c>
      <c r="V15" s="108">
        <f>IFERROR(INDEX(lifespans_all!V$2:V$56,MATCH($A15,lifespans_all!$A$2:$A$56,0))*INDEX(SR_mission_minutes!V$2:V$43,MATCH($A15,SR_mission_minutes!$A$2:$A$43)),"-")</f>
        <v>0</v>
      </c>
    </row>
    <row r="16" spans="1:23" x14ac:dyDescent="0.25">
      <c r="A16" s="32" t="s">
        <v>25</v>
      </c>
      <c r="B16" s="32" t="s">
        <v>44</v>
      </c>
      <c r="C16" s="108">
        <f>IFERROR(INDEX(lifespans_all!C$2:C$56,MATCH($A16,lifespans_all!$A$2:$A$56,0))*INDEX(SR_mission_minutes!C$2:C$43,MATCH($A16,SR_mission_minutes!$A$2:$A$43)),"-")</f>
        <v>460.5</v>
      </c>
      <c r="D16" s="108">
        <f>IFERROR(INDEX(lifespans_all!D$2:D$56,MATCH($A16,lifespans_all!$A$2:$A$56,0))*INDEX(SR_mission_minutes!D$2:D$43,MATCH($A16,SR_mission_minutes!$A$2:$A$43)),"-")</f>
        <v>460.5</v>
      </c>
      <c r="E16" s="108">
        <f>IFERROR(INDEX(lifespans_all!E$2:E$56,MATCH($A16,lifespans_all!$A$2:$A$56,0))*INDEX(SR_mission_minutes!E$2:E$43,MATCH($A16,SR_mission_minutes!$A$2:$A$43)),"-")</f>
        <v>460.5</v>
      </c>
      <c r="F16" s="108">
        <f>IFERROR(INDEX(lifespans_all!F$2:F$56,MATCH($A16,lifespans_all!$A$2:$A$56,0))*INDEX(SR_mission_minutes!F$2:F$43,MATCH($A16,SR_mission_minutes!$A$2:$A$43)),"-")</f>
        <v>460.5</v>
      </c>
      <c r="G16" s="108">
        <f>IFERROR(INDEX(lifespans_all!G$2:G$56,MATCH($A16,lifespans_all!$A$2:$A$56,0))*INDEX(SR_mission_minutes!G$2:G$43,MATCH($A16,SR_mission_minutes!$A$2:$A$43)),"-")</f>
        <v>0</v>
      </c>
      <c r="H16" s="108">
        <f>IFERROR(INDEX(lifespans_all!H$2:H$56,MATCH($A16,lifespans_all!$A$2:$A$56,0))*INDEX(SR_mission_minutes!H$2:H$43,MATCH($A16,SR_mission_minutes!$A$2:$A$43)),"-")</f>
        <v>0</v>
      </c>
      <c r="I16" s="108">
        <f>IFERROR(INDEX(lifespans_all!I$2:I$56,MATCH($A16,lifespans_all!$A$2:$A$56,0))*INDEX(SR_mission_minutes!I$2:I$43,MATCH($A16,SR_mission_minutes!$A$2:$A$43)),"-")</f>
        <v>0</v>
      </c>
      <c r="J16" s="108">
        <f>IFERROR(INDEX(lifespans_all!J$2:J$56,MATCH($A16,lifespans_all!$A$2:$A$56,0))*INDEX(SR_mission_minutes!J$2:J$43,MATCH($A16,SR_mission_minutes!$A$2:$A$43)),"-")</f>
        <v>0</v>
      </c>
      <c r="K16" s="108">
        <f>IFERROR(INDEX(lifespans_all!K$2:K$56,MATCH($A16,lifespans_all!$A$2:$A$56,0))*INDEX(SR_mission_minutes!K$2:K$43,MATCH($A16,SR_mission_minutes!$A$2:$A$43)),"-")</f>
        <v>0</v>
      </c>
      <c r="L16" s="108">
        <f>IFERROR(INDEX(lifespans_all!L$2:L$56,MATCH($A16,lifespans_all!$A$2:$A$56,0))*INDEX(SR_mission_minutes!L$2:L$43,MATCH($A16,SR_mission_minutes!$A$2:$A$43)),"-")</f>
        <v>0</v>
      </c>
      <c r="M16" s="108">
        <f>IFERROR(INDEX(lifespans_all!M$2:M$56,MATCH($A16,lifespans_all!$A$2:$A$56,0))*INDEX(SR_mission_minutes!M$2:M$43,MATCH($A16,SR_mission_minutes!$A$2:$A$43)),"-")</f>
        <v>0</v>
      </c>
      <c r="N16" s="108">
        <f>IFERROR(INDEX(lifespans_all!N$2:N$56,MATCH($A16,lifespans_all!$A$2:$A$56,0))*INDEX(SR_mission_minutes!N$2:N$43,MATCH($A16,SR_mission_minutes!$A$2:$A$43)),"-")</f>
        <v>0</v>
      </c>
      <c r="O16" s="108">
        <f>IFERROR(INDEX(lifespans_all!O$2:O$56,MATCH($A16,lifespans_all!$A$2:$A$56,0))*INDEX(SR_mission_minutes!O$2:O$43,MATCH($A16,SR_mission_minutes!$A$2:$A$43)),"-")</f>
        <v>0</v>
      </c>
      <c r="P16" s="108">
        <f>IFERROR(INDEX(lifespans_all!P$2:P$56,MATCH($A16,lifespans_all!$A$2:$A$56,0))*INDEX(SR_mission_minutes!P$2:P$43,MATCH($A16,SR_mission_minutes!$A$2:$A$43)),"-")</f>
        <v>0</v>
      </c>
      <c r="Q16" s="108">
        <f>IFERROR(INDEX(lifespans_all!Q$2:Q$56,MATCH($A16,lifespans_all!$A$2:$A$56,0))*INDEX(SR_mission_minutes!Q$2:Q$43,MATCH($A16,SR_mission_minutes!$A$2:$A$43)),"-")</f>
        <v>0</v>
      </c>
      <c r="R16" s="108">
        <f>IFERROR(INDEX(lifespans_all!R$2:R$56,MATCH($A16,lifespans_all!$A$2:$A$56,0))*INDEX(SR_mission_minutes!R$2:R$43,MATCH($A16,SR_mission_minutes!$A$2:$A$43)),"-")</f>
        <v>0</v>
      </c>
      <c r="S16" s="108">
        <f>IFERROR(INDEX(lifespans_all!S$2:S$56,MATCH($A16,lifespans_all!$A$2:$A$56,0))*INDEX(SR_mission_minutes!S$2:S$43,MATCH($A16,SR_mission_minutes!$A$2:$A$43)),"-")</f>
        <v>0</v>
      </c>
      <c r="T16" s="108">
        <f>IFERROR(INDEX(lifespans_all!T$2:T$56,MATCH($A16,lifespans_all!$A$2:$A$56,0))*INDEX(SR_mission_minutes!T$2:T$43,MATCH($A16,SR_mission_minutes!$A$2:$A$43)),"-")</f>
        <v>0</v>
      </c>
      <c r="U16" s="108">
        <f>IFERROR(INDEX(lifespans_all!U$2:U$56,MATCH($A16,lifespans_all!$A$2:$A$56,0))*INDEX(SR_mission_minutes!U$2:U$43,MATCH($A16,SR_mission_minutes!$A$2:$A$43)),"-")</f>
        <v>0</v>
      </c>
      <c r="V16" s="108">
        <f>IFERROR(INDEX(lifespans_all!V$2:V$56,MATCH($A16,lifespans_all!$A$2:$A$56,0))*INDEX(SR_mission_minutes!V$2:V$43,MATCH($A16,SR_mission_minutes!$A$2:$A$43)),"-")</f>
        <v>0</v>
      </c>
    </row>
    <row r="17" spans="1:22" x14ac:dyDescent="0.25">
      <c r="A17" s="32" t="s">
        <v>58</v>
      </c>
      <c r="B17" s="32" t="s">
        <v>41</v>
      </c>
      <c r="C17" s="108">
        <f>IFERROR(INDEX(lifespans_all!C$2:C$56,MATCH($A17,lifespans_all!$A$2:$A$56,0))*INDEX(SR_mission_minutes!C$2:C$43,MATCH($A17,SR_mission_minutes!$A$2:$A$43)),"-")</f>
        <v>66700.388888888891</v>
      </c>
      <c r="D17" s="108">
        <f>IFERROR(INDEX(lifespans_all!D$2:D$56,MATCH($A17,lifespans_all!$A$2:$A$56,0))*INDEX(SR_mission_minutes!D$2:D$43,MATCH($A17,SR_mission_minutes!$A$2:$A$43)),"-")</f>
        <v>0</v>
      </c>
      <c r="E17" s="108">
        <f>IFERROR(INDEX(lifespans_all!E$2:E$56,MATCH($A17,lifespans_all!$A$2:$A$56,0))*INDEX(SR_mission_minutes!E$2:E$43,MATCH($A17,SR_mission_minutes!$A$2:$A$43)),"-")</f>
        <v>0</v>
      </c>
      <c r="F17" s="108">
        <f>IFERROR(INDEX(lifespans_all!F$2:F$56,MATCH($A17,lifespans_all!$A$2:$A$56,0))*INDEX(SR_mission_minutes!F$2:F$43,MATCH($A17,SR_mission_minutes!$A$2:$A$43)),"-")</f>
        <v>0</v>
      </c>
      <c r="G17" s="108">
        <f>IFERROR(INDEX(lifespans_all!G$2:G$56,MATCH($A17,lifespans_all!$A$2:$A$56,0))*INDEX(SR_mission_minutes!G$2:G$43,MATCH($A17,SR_mission_minutes!$A$2:$A$43)),"-")</f>
        <v>0</v>
      </c>
      <c r="H17" s="108">
        <f>IFERROR(INDEX(lifespans_all!H$2:H$56,MATCH($A17,lifespans_all!$A$2:$A$56,0))*INDEX(SR_mission_minutes!H$2:H$43,MATCH($A17,SR_mission_minutes!$A$2:$A$43)),"-")</f>
        <v>0</v>
      </c>
      <c r="I17" s="108">
        <f>IFERROR(INDEX(lifespans_all!I$2:I$56,MATCH($A17,lifespans_all!$A$2:$A$56,0))*INDEX(SR_mission_minutes!I$2:I$43,MATCH($A17,SR_mission_minutes!$A$2:$A$43)),"-")</f>
        <v>0</v>
      </c>
      <c r="J17" s="108">
        <f>IFERROR(INDEX(lifespans_all!J$2:J$56,MATCH($A17,lifespans_all!$A$2:$A$56,0))*INDEX(SR_mission_minutes!J$2:J$43,MATCH($A17,SR_mission_minutes!$A$2:$A$43)),"-")</f>
        <v>0</v>
      </c>
      <c r="K17" s="108">
        <f>IFERROR(INDEX(lifespans_all!K$2:K$56,MATCH($A17,lifespans_all!$A$2:$A$56,0))*INDEX(SR_mission_minutes!K$2:K$43,MATCH($A17,SR_mission_minutes!$A$2:$A$43)),"-")</f>
        <v>0</v>
      </c>
      <c r="L17" s="108">
        <f>IFERROR(INDEX(lifespans_all!L$2:L$56,MATCH($A17,lifespans_all!$A$2:$A$56,0))*INDEX(SR_mission_minutes!L$2:L$43,MATCH($A17,SR_mission_minutes!$A$2:$A$43)),"-")</f>
        <v>0</v>
      </c>
      <c r="M17" s="108">
        <f>IFERROR(INDEX(lifespans_all!M$2:M$56,MATCH($A17,lifespans_all!$A$2:$A$56,0))*INDEX(SR_mission_minutes!M$2:M$43,MATCH($A17,SR_mission_minutes!$A$2:$A$43)),"-")</f>
        <v>0</v>
      </c>
      <c r="N17" s="108">
        <f>IFERROR(INDEX(lifespans_all!N$2:N$56,MATCH($A17,lifespans_all!$A$2:$A$56,0))*INDEX(SR_mission_minutes!N$2:N$43,MATCH($A17,SR_mission_minutes!$A$2:$A$43)),"-")</f>
        <v>0</v>
      </c>
      <c r="O17" s="108">
        <f>IFERROR(INDEX(lifespans_all!O$2:O$56,MATCH($A17,lifespans_all!$A$2:$A$56,0))*INDEX(SR_mission_minutes!O$2:O$43,MATCH($A17,SR_mission_minutes!$A$2:$A$43)),"-")</f>
        <v>0</v>
      </c>
      <c r="P17" s="108">
        <f>IFERROR(INDEX(lifespans_all!P$2:P$56,MATCH($A17,lifespans_all!$A$2:$A$56,0))*INDEX(SR_mission_minutes!P$2:P$43,MATCH($A17,SR_mission_minutes!$A$2:$A$43)),"-")</f>
        <v>0</v>
      </c>
      <c r="Q17" s="108">
        <f>IFERROR(INDEX(lifespans_all!Q$2:Q$56,MATCH($A17,lifespans_all!$A$2:$A$56,0))*INDEX(SR_mission_minutes!Q$2:Q$43,MATCH($A17,SR_mission_minutes!$A$2:$A$43)),"-")</f>
        <v>0</v>
      </c>
      <c r="R17" s="108">
        <f>IFERROR(INDEX(lifespans_all!R$2:R$56,MATCH($A17,lifespans_all!$A$2:$A$56,0))*INDEX(SR_mission_minutes!R$2:R$43,MATCH($A17,SR_mission_minutes!$A$2:$A$43)),"-")</f>
        <v>0</v>
      </c>
      <c r="S17" s="108">
        <f>IFERROR(INDEX(lifespans_all!S$2:S$56,MATCH($A17,lifespans_all!$A$2:$A$56,0))*INDEX(SR_mission_minutes!S$2:S$43,MATCH($A17,SR_mission_minutes!$A$2:$A$43)),"-")</f>
        <v>0</v>
      </c>
      <c r="T17" s="108">
        <f>IFERROR(INDEX(lifespans_all!T$2:T$56,MATCH($A17,lifespans_all!$A$2:$A$56,0))*INDEX(SR_mission_minutes!T$2:T$43,MATCH($A17,SR_mission_minutes!$A$2:$A$43)),"-")</f>
        <v>0</v>
      </c>
      <c r="U17" s="108">
        <f>IFERROR(INDEX(lifespans_all!U$2:U$56,MATCH($A17,lifespans_all!$A$2:$A$56,0))*INDEX(SR_mission_minutes!U$2:U$43,MATCH($A17,SR_mission_minutes!$A$2:$A$43)),"-")</f>
        <v>0</v>
      </c>
      <c r="V17" s="108">
        <f>IFERROR(INDEX(lifespans_all!V$2:V$56,MATCH($A17,lifespans_all!$A$2:$A$56,0))*INDEX(SR_mission_minutes!V$2:V$43,MATCH($A17,SR_mission_minutes!$A$2:$A$43)),"-")</f>
        <v>0</v>
      </c>
    </row>
    <row r="18" spans="1:22" x14ac:dyDescent="0.25">
      <c r="A18" s="32" t="s">
        <v>59</v>
      </c>
      <c r="B18" s="32" t="s">
        <v>41</v>
      </c>
      <c r="C18" s="108">
        <f>IFERROR(INDEX(lifespans_all!C$2:C$56,MATCH($A18,lifespans_all!$A$2:$A$56,0))*INDEX(SR_mission_minutes!C$2:C$43,MATCH($A18,SR_mission_minutes!$A$2:$A$43)),"-")</f>
        <v>66700.388888888891</v>
      </c>
      <c r="D18" s="108">
        <f>IFERROR(INDEX(lifespans_all!D$2:D$56,MATCH($A18,lifespans_all!$A$2:$A$56,0))*INDEX(SR_mission_minutes!D$2:D$43,MATCH($A18,SR_mission_minutes!$A$2:$A$43)),"-")</f>
        <v>66700.388888888891</v>
      </c>
      <c r="E18" s="108">
        <f>IFERROR(INDEX(lifespans_all!E$2:E$56,MATCH($A18,lifespans_all!$A$2:$A$56,0))*INDEX(SR_mission_minutes!E$2:E$43,MATCH($A18,SR_mission_minutes!$A$2:$A$43)),"-")</f>
        <v>66700.388888888891</v>
      </c>
      <c r="F18" s="108">
        <f>IFERROR(INDEX(lifespans_all!F$2:F$56,MATCH($A18,lifespans_all!$A$2:$A$56,0))*INDEX(SR_mission_minutes!F$2:F$43,MATCH($A18,SR_mission_minutes!$A$2:$A$43)),"-")</f>
        <v>0</v>
      </c>
      <c r="G18" s="108">
        <f>IFERROR(INDEX(lifespans_all!G$2:G$56,MATCH($A18,lifespans_all!$A$2:$A$56,0))*INDEX(SR_mission_minutes!G$2:G$43,MATCH($A18,SR_mission_minutes!$A$2:$A$43)),"-")</f>
        <v>0</v>
      </c>
      <c r="H18" s="108">
        <f>IFERROR(INDEX(lifespans_all!H$2:H$56,MATCH($A18,lifespans_all!$A$2:$A$56,0))*INDEX(SR_mission_minutes!H$2:H$43,MATCH($A18,SR_mission_minutes!$A$2:$A$43)),"-")</f>
        <v>0</v>
      </c>
      <c r="I18" s="108">
        <f>IFERROR(INDEX(lifespans_all!I$2:I$56,MATCH($A18,lifespans_all!$A$2:$A$56,0))*INDEX(SR_mission_minutes!I$2:I$43,MATCH($A18,SR_mission_minutes!$A$2:$A$43)),"-")</f>
        <v>0</v>
      </c>
      <c r="J18" s="108">
        <f>IFERROR(INDEX(lifespans_all!J$2:J$56,MATCH($A18,lifespans_all!$A$2:$A$56,0))*INDEX(SR_mission_minutes!J$2:J$43,MATCH($A18,SR_mission_minutes!$A$2:$A$43)),"-")</f>
        <v>0</v>
      </c>
      <c r="K18" s="108">
        <f>IFERROR(INDEX(lifespans_all!K$2:K$56,MATCH($A18,lifespans_all!$A$2:$A$56,0))*INDEX(SR_mission_minutes!K$2:K$43,MATCH($A18,SR_mission_minutes!$A$2:$A$43)),"-")</f>
        <v>0</v>
      </c>
      <c r="L18" s="108">
        <f>IFERROR(INDEX(lifespans_all!L$2:L$56,MATCH($A18,lifespans_all!$A$2:$A$56,0))*INDEX(SR_mission_minutes!L$2:L$43,MATCH($A18,SR_mission_minutes!$A$2:$A$43)),"-")</f>
        <v>0</v>
      </c>
      <c r="M18" s="108">
        <f>IFERROR(INDEX(lifespans_all!M$2:M$56,MATCH($A18,lifespans_all!$A$2:$A$56,0))*INDEX(SR_mission_minutes!M$2:M$43,MATCH($A18,SR_mission_minutes!$A$2:$A$43)),"-")</f>
        <v>0</v>
      </c>
      <c r="N18" s="108">
        <f>IFERROR(INDEX(lifespans_all!N$2:N$56,MATCH($A18,lifespans_all!$A$2:$A$56,0))*INDEX(SR_mission_minutes!N$2:N$43,MATCH($A18,SR_mission_minutes!$A$2:$A$43)),"-")</f>
        <v>0</v>
      </c>
      <c r="O18" s="108">
        <f>IFERROR(INDEX(lifespans_all!O$2:O$56,MATCH($A18,lifespans_all!$A$2:$A$56,0))*INDEX(SR_mission_minutes!O$2:O$43,MATCH($A18,SR_mission_minutes!$A$2:$A$43)),"-")</f>
        <v>0</v>
      </c>
      <c r="P18" s="108">
        <f>IFERROR(INDEX(lifespans_all!P$2:P$56,MATCH($A18,lifespans_all!$A$2:$A$56,0))*INDEX(SR_mission_minutes!P$2:P$43,MATCH($A18,SR_mission_minutes!$A$2:$A$43)),"-")</f>
        <v>0</v>
      </c>
      <c r="Q18" s="108">
        <f>IFERROR(INDEX(lifespans_all!Q$2:Q$56,MATCH($A18,lifespans_all!$A$2:$A$56,0))*INDEX(SR_mission_minutes!Q$2:Q$43,MATCH($A18,SR_mission_minutes!$A$2:$A$43)),"-")</f>
        <v>0</v>
      </c>
      <c r="R18" s="108">
        <f>IFERROR(INDEX(lifespans_all!R$2:R$56,MATCH($A18,lifespans_all!$A$2:$A$56,0))*INDEX(SR_mission_minutes!R$2:R$43,MATCH($A18,SR_mission_minutes!$A$2:$A$43)),"-")</f>
        <v>0</v>
      </c>
      <c r="S18" s="108">
        <f>IFERROR(INDEX(lifespans_all!S$2:S$56,MATCH($A18,lifespans_all!$A$2:$A$56,0))*INDEX(SR_mission_minutes!S$2:S$43,MATCH($A18,SR_mission_minutes!$A$2:$A$43)),"-")</f>
        <v>0</v>
      </c>
      <c r="T18" s="108">
        <f>IFERROR(INDEX(lifespans_all!T$2:T$56,MATCH($A18,lifespans_all!$A$2:$A$56,0))*INDEX(SR_mission_minutes!T$2:T$43,MATCH($A18,SR_mission_minutes!$A$2:$A$43)),"-")</f>
        <v>0</v>
      </c>
      <c r="U18" s="108">
        <f>IFERROR(INDEX(lifespans_all!U$2:U$56,MATCH($A18,lifespans_all!$A$2:$A$56,0))*INDEX(SR_mission_minutes!U$2:U$43,MATCH($A18,SR_mission_minutes!$A$2:$A$43)),"-")</f>
        <v>0</v>
      </c>
      <c r="V18" s="108">
        <f>IFERROR(INDEX(lifespans_all!V$2:V$56,MATCH($A18,lifespans_all!$A$2:$A$56,0))*INDEX(SR_mission_minutes!V$2:V$43,MATCH($A18,SR_mission_minutes!$A$2:$A$43)),"-")</f>
        <v>0</v>
      </c>
    </row>
    <row r="19" spans="1:22" x14ac:dyDescent="0.25">
      <c r="A19" s="32" t="s">
        <v>60</v>
      </c>
      <c r="B19" s="32" t="s">
        <v>41</v>
      </c>
      <c r="C19" s="108">
        <f>IFERROR(INDEX(lifespans_all!C$2:C$56,MATCH($A19,lifespans_all!$A$2:$A$56,0))*INDEX(SR_mission_minutes!C$2:C$43,MATCH($A19,SR_mission_minutes!$A$2:$A$43)),"-")</f>
        <v>66700.388888888891</v>
      </c>
      <c r="D19" s="108">
        <f>IFERROR(INDEX(lifespans_all!D$2:D$56,MATCH($A19,lifespans_all!$A$2:$A$56,0))*INDEX(SR_mission_minutes!D$2:D$43,MATCH($A19,SR_mission_minutes!$A$2:$A$43)),"-")</f>
        <v>66700.388888888891</v>
      </c>
      <c r="E19" s="108">
        <f>IFERROR(INDEX(lifespans_all!E$2:E$56,MATCH($A19,lifespans_all!$A$2:$A$56,0))*INDEX(SR_mission_minutes!E$2:E$43,MATCH($A19,SR_mission_minutes!$A$2:$A$43)),"-")</f>
        <v>66700.388888888891</v>
      </c>
      <c r="F19" s="108">
        <f>IFERROR(INDEX(lifespans_all!F$2:F$56,MATCH($A19,lifespans_all!$A$2:$A$56,0))*INDEX(SR_mission_minutes!F$2:F$43,MATCH($A19,SR_mission_minutes!$A$2:$A$43)),"-")</f>
        <v>66700.388888888891</v>
      </c>
      <c r="G19" s="108">
        <f>IFERROR(INDEX(lifespans_all!G$2:G$56,MATCH($A19,lifespans_all!$A$2:$A$56,0))*INDEX(SR_mission_minutes!G$2:G$43,MATCH($A19,SR_mission_minutes!$A$2:$A$43)),"-")</f>
        <v>66700.388888888891</v>
      </c>
      <c r="H19" s="108">
        <f>IFERROR(INDEX(lifespans_all!H$2:H$56,MATCH($A19,lifespans_all!$A$2:$A$56,0))*INDEX(SR_mission_minutes!H$2:H$43,MATCH($A19,SR_mission_minutes!$A$2:$A$43)),"-")</f>
        <v>66700.388888888891</v>
      </c>
      <c r="I19" s="108">
        <f>IFERROR(INDEX(lifespans_all!I$2:I$56,MATCH($A19,lifespans_all!$A$2:$A$56,0))*INDEX(SR_mission_minutes!I$2:I$43,MATCH($A19,SR_mission_minutes!$A$2:$A$43)),"-")</f>
        <v>0</v>
      </c>
      <c r="J19" s="108">
        <f>IFERROR(INDEX(lifespans_all!J$2:J$56,MATCH($A19,lifespans_all!$A$2:$A$56,0))*INDEX(SR_mission_minutes!J$2:J$43,MATCH($A19,SR_mission_minutes!$A$2:$A$43)),"-")</f>
        <v>0</v>
      </c>
      <c r="K19" s="108">
        <f>IFERROR(INDEX(lifespans_all!K$2:K$56,MATCH($A19,lifespans_all!$A$2:$A$56,0))*INDEX(SR_mission_minutes!K$2:K$43,MATCH($A19,SR_mission_minutes!$A$2:$A$43)),"-")</f>
        <v>0</v>
      </c>
      <c r="L19" s="108">
        <f>IFERROR(INDEX(lifespans_all!L$2:L$56,MATCH($A19,lifespans_all!$A$2:$A$56,0))*INDEX(SR_mission_minutes!L$2:L$43,MATCH($A19,SR_mission_minutes!$A$2:$A$43)),"-")</f>
        <v>0</v>
      </c>
      <c r="M19" s="108">
        <f>IFERROR(INDEX(lifespans_all!M$2:M$56,MATCH($A19,lifespans_all!$A$2:$A$56,0))*INDEX(SR_mission_minutes!M$2:M$43,MATCH($A19,SR_mission_minutes!$A$2:$A$43)),"-")</f>
        <v>0</v>
      </c>
      <c r="N19" s="108">
        <f>IFERROR(INDEX(lifespans_all!N$2:N$56,MATCH($A19,lifespans_all!$A$2:$A$56,0))*INDEX(SR_mission_minutes!N$2:N$43,MATCH($A19,SR_mission_minutes!$A$2:$A$43)),"-")</f>
        <v>0</v>
      </c>
      <c r="O19" s="108">
        <f>IFERROR(INDEX(lifespans_all!O$2:O$56,MATCH($A19,lifespans_all!$A$2:$A$56,0))*INDEX(SR_mission_minutes!O$2:O$43,MATCH($A19,SR_mission_minutes!$A$2:$A$43)),"-")</f>
        <v>0</v>
      </c>
      <c r="P19" s="108">
        <f>IFERROR(INDEX(lifespans_all!P$2:P$56,MATCH($A19,lifespans_all!$A$2:$A$56,0))*INDEX(SR_mission_minutes!P$2:P$43,MATCH($A19,SR_mission_minutes!$A$2:$A$43)),"-")</f>
        <v>0</v>
      </c>
      <c r="Q19" s="108">
        <f>IFERROR(INDEX(lifespans_all!Q$2:Q$56,MATCH($A19,lifespans_all!$A$2:$A$56,0))*INDEX(SR_mission_minutes!Q$2:Q$43,MATCH($A19,SR_mission_minutes!$A$2:$A$43)),"-")</f>
        <v>0</v>
      </c>
      <c r="R19" s="108">
        <f>IFERROR(INDEX(lifespans_all!R$2:R$56,MATCH($A19,lifespans_all!$A$2:$A$56,0))*INDEX(SR_mission_minutes!R$2:R$43,MATCH($A19,SR_mission_minutes!$A$2:$A$43)),"-")</f>
        <v>0</v>
      </c>
      <c r="S19" s="108">
        <f>IFERROR(INDEX(lifespans_all!S$2:S$56,MATCH($A19,lifespans_all!$A$2:$A$56,0))*INDEX(SR_mission_minutes!S$2:S$43,MATCH($A19,SR_mission_minutes!$A$2:$A$43)),"-")</f>
        <v>0</v>
      </c>
      <c r="T19" s="108">
        <f>IFERROR(INDEX(lifespans_all!T$2:T$56,MATCH($A19,lifespans_all!$A$2:$A$56,0))*INDEX(SR_mission_minutes!T$2:T$43,MATCH($A19,SR_mission_minutes!$A$2:$A$43)),"-")</f>
        <v>0</v>
      </c>
      <c r="U19" s="108">
        <f>IFERROR(INDEX(lifespans_all!U$2:U$56,MATCH($A19,lifespans_all!$A$2:$A$56,0))*INDEX(SR_mission_minutes!U$2:U$43,MATCH($A19,SR_mission_minutes!$A$2:$A$43)),"-")</f>
        <v>0</v>
      </c>
      <c r="V19" s="108">
        <f>IFERROR(INDEX(lifespans_all!V$2:V$56,MATCH($A19,lifespans_all!$A$2:$A$56,0))*INDEX(SR_mission_minutes!V$2:V$43,MATCH($A19,SR_mission_minutes!$A$2:$A$43)),"-")</f>
        <v>0</v>
      </c>
    </row>
    <row r="20" spans="1:22" x14ac:dyDescent="0.25">
      <c r="A20" s="32" t="s">
        <v>26</v>
      </c>
      <c r="B20" s="32" t="s">
        <v>45</v>
      </c>
      <c r="C20" s="108">
        <f>IFERROR(INDEX(lifespans_all!C$2:C$56,MATCH($A20,lifespans_all!$A$2:$A$56,0))*INDEX(SR_mission_minutes!C$2:C$43,MATCH($A20,SR_mission_minutes!$A$2:$A$43)),"-")</f>
        <v>33739.333333333336</v>
      </c>
      <c r="D20" s="108">
        <f>IFERROR(INDEX(lifespans_all!D$2:D$56,MATCH($A20,lifespans_all!$A$2:$A$56,0))*INDEX(SR_mission_minutes!D$2:D$43,MATCH($A20,SR_mission_minutes!$A$2:$A$43)),"-")</f>
        <v>33739.333333333336</v>
      </c>
      <c r="E20" s="108">
        <f>IFERROR(INDEX(lifespans_all!E$2:E$56,MATCH($A20,lifespans_all!$A$2:$A$56,0))*INDEX(SR_mission_minutes!E$2:E$43,MATCH($A20,SR_mission_minutes!$A$2:$A$43)),"-")</f>
        <v>33739.333333333336</v>
      </c>
      <c r="F20" s="108">
        <f>IFERROR(INDEX(lifespans_all!F$2:F$56,MATCH($A20,lifespans_all!$A$2:$A$56,0))*INDEX(SR_mission_minutes!F$2:F$43,MATCH($A20,SR_mission_minutes!$A$2:$A$43)),"-")</f>
        <v>33739.333333333336</v>
      </c>
      <c r="G20" s="108">
        <f>IFERROR(INDEX(lifespans_all!G$2:G$56,MATCH($A20,lifespans_all!$A$2:$A$56,0))*INDEX(SR_mission_minutes!G$2:G$43,MATCH($A20,SR_mission_minutes!$A$2:$A$43)),"-")</f>
        <v>33739.333333333336</v>
      </c>
      <c r="H20" s="108">
        <f>IFERROR(INDEX(lifespans_all!H$2:H$56,MATCH($A20,lifespans_all!$A$2:$A$56,0))*INDEX(SR_mission_minutes!H$2:H$43,MATCH($A20,SR_mission_minutes!$A$2:$A$43)),"-")</f>
        <v>33739.333333333336</v>
      </c>
      <c r="I20" s="108">
        <f>IFERROR(INDEX(lifespans_all!I$2:I$56,MATCH($A20,lifespans_all!$A$2:$A$56,0))*INDEX(SR_mission_minutes!I$2:I$43,MATCH($A20,SR_mission_minutes!$A$2:$A$43)),"-")</f>
        <v>33739.333333333336</v>
      </c>
      <c r="J20" s="108">
        <f>IFERROR(INDEX(lifespans_all!J$2:J$56,MATCH($A20,lifespans_all!$A$2:$A$56,0))*INDEX(SR_mission_minutes!J$2:J$43,MATCH($A20,SR_mission_minutes!$A$2:$A$43)),"-")</f>
        <v>33739.333333333336</v>
      </c>
      <c r="K20" s="108">
        <f>IFERROR(INDEX(lifespans_all!K$2:K$56,MATCH($A20,lifespans_all!$A$2:$A$56,0))*INDEX(SR_mission_minutes!K$2:K$43,MATCH($A20,SR_mission_minutes!$A$2:$A$43)),"-")</f>
        <v>33739.333333333336</v>
      </c>
      <c r="L20" s="108">
        <f>IFERROR(INDEX(lifespans_all!L$2:L$56,MATCH($A20,lifespans_all!$A$2:$A$56,0))*INDEX(SR_mission_minutes!L$2:L$43,MATCH($A20,SR_mission_minutes!$A$2:$A$43)),"-")</f>
        <v>33739.333333333336</v>
      </c>
      <c r="M20" s="108">
        <f>IFERROR(INDEX(lifespans_all!M$2:M$56,MATCH($A20,lifespans_all!$A$2:$A$56,0))*INDEX(SR_mission_minutes!M$2:M$43,MATCH($A20,SR_mission_minutes!$A$2:$A$43)),"-")</f>
        <v>33739.333333333336</v>
      </c>
      <c r="N20" s="108">
        <f>IFERROR(INDEX(lifespans_all!N$2:N$56,MATCH($A20,lifespans_all!$A$2:$A$56,0))*INDEX(SR_mission_minutes!N$2:N$43,MATCH($A20,SR_mission_minutes!$A$2:$A$43)),"-")</f>
        <v>33739.333333333336</v>
      </c>
      <c r="O20" s="108">
        <f>IFERROR(INDEX(lifespans_all!O$2:O$56,MATCH($A20,lifespans_all!$A$2:$A$56,0))*INDEX(SR_mission_minutes!O$2:O$43,MATCH($A20,SR_mission_minutes!$A$2:$A$43)),"-")</f>
        <v>33739.333333333336</v>
      </c>
      <c r="P20" s="108">
        <f>IFERROR(INDEX(lifespans_all!P$2:P$56,MATCH($A20,lifespans_all!$A$2:$A$56,0))*INDEX(SR_mission_minutes!P$2:P$43,MATCH($A20,SR_mission_minutes!$A$2:$A$43)),"-")</f>
        <v>33739.333333333336</v>
      </c>
      <c r="Q20" s="108">
        <f>IFERROR(INDEX(lifespans_all!Q$2:Q$56,MATCH($A20,lifespans_all!$A$2:$A$56,0))*INDEX(SR_mission_minutes!Q$2:Q$43,MATCH($A20,SR_mission_minutes!$A$2:$A$43)),"-")</f>
        <v>33739.333333333336</v>
      </c>
      <c r="R20" s="108">
        <f>IFERROR(INDEX(lifespans_all!R$2:R$56,MATCH($A20,lifespans_all!$A$2:$A$56,0))*INDEX(SR_mission_minutes!R$2:R$43,MATCH($A20,SR_mission_minutes!$A$2:$A$43)),"-")</f>
        <v>33739.333333333336</v>
      </c>
      <c r="S20" s="108">
        <f>IFERROR(INDEX(lifespans_all!S$2:S$56,MATCH($A20,lifespans_all!$A$2:$A$56,0))*INDEX(SR_mission_minutes!S$2:S$43,MATCH($A20,SR_mission_minutes!$A$2:$A$43)),"-")</f>
        <v>33739.333333333336</v>
      </c>
      <c r="T20" s="108">
        <f>IFERROR(INDEX(lifespans_all!T$2:T$56,MATCH($A20,lifespans_all!$A$2:$A$56,0))*INDEX(SR_mission_minutes!T$2:T$43,MATCH($A20,SR_mission_minutes!$A$2:$A$43)),"-")</f>
        <v>33739.333333333336</v>
      </c>
      <c r="U20" s="108">
        <f>IFERROR(INDEX(lifespans_all!U$2:U$56,MATCH($A20,lifespans_all!$A$2:$A$56,0))*INDEX(SR_mission_minutes!U$2:U$43,MATCH($A20,SR_mission_minutes!$A$2:$A$43)),"-")</f>
        <v>33739.333333333336</v>
      </c>
      <c r="V20" s="108">
        <f>IFERROR(INDEX(lifespans_all!V$2:V$56,MATCH($A20,lifespans_all!$A$2:$A$56,0))*INDEX(SR_mission_minutes!V$2:V$43,MATCH($A20,SR_mission_minutes!$A$2:$A$43)),"-")</f>
        <v>33739.333333333336</v>
      </c>
    </row>
    <row r="21" spans="1:22" x14ac:dyDescent="0.25">
      <c r="A21" s="32" t="s">
        <v>61</v>
      </c>
      <c r="B21" s="32" t="s">
        <v>42</v>
      </c>
      <c r="C21" s="108">
        <f>IFERROR(INDEX(lifespans_all!C$2:C$56,MATCH($A21,lifespans_all!$A$2:$A$56,0))*INDEX(SR_mission_minutes!C$2:C$43,MATCH($A21,SR_mission_minutes!$A$2:$A$43)),"-")</f>
        <v>2294</v>
      </c>
      <c r="D21" s="108">
        <f>IFERROR(INDEX(lifespans_all!D$2:D$56,MATCH($A21,lifespans_all!$A$2:$A$56,0))*INDEX(SR_mission_minutes!D$2:D$43,MATCH($A21,SR_mission_minutes!$A$2:$A$43)),"-")</f>
        <v>2294</v>
      </c>
      <c r="E21" s="108">
        <f>IFERROR(INDEX(lifespans_all!E$2:E$56,MATCH($A21,lifespans_all!$A$2:$A$56,0))*INDEX(SR_mission_minutes!E$2:E$43,MATCH($A21,SR_mission_minutes!$A$2:$A$43)),"-")</f>
        <v>2294</v>
      </c>
      <c r="F21" s="108">
        <f>IFERROR(INDEX(lifespans_all!F$2:F$56,MATCH($A21,lifespans_all!$A$2:$A$56,0))*INDEX(SR_mission_minutes!F$2:F$43,MATCH($A21,SR_mission_minutes!$A$2:$A$43)),"-")</f>
        <v>2294</v>
      </c>
      <c r="G21" s="108">
        <f>IFERROR(INDEX(lifespans_all!G$2:G$56,MATCH($A21,lifespans_all!$A$2:$A$56,0))*INDEX(SR_mission_minutes!G$2:G$43,MATCH($A21,SR_mission_minutes!$A$2:$A$43)),"-")</f>
        <v>2294</v>
      </c>
      <c r="H21" s="108">
        <f>IFERROR(INDEX(lifespans_all!H$2:H$56,MATCH($A21,lifespans_all!$A$2:$A$56,0))*INDEX(SR_mission_minutes!H$2:H$43,MATCH($A21,SR_mission_minutes!$A$2:$A$43)),"-")</f>
        <v>2294</v>
      </c>
      <c r="I21" s="108">
        <f>IFERROR(INDEX(lifespans_all!I$2:I$56,MATCH($A21,lifespans_all!$A$2:$A$56,0))*INDEX(SR_mission_minutes!I$2:I$43,MATCH($A21,SR_mission_minutes!$A$2:$A$43)),"-")</f>
        <v>2294</v>
      </c>
      <c r="J21" s="108">
        <f>IFERROR(INDEX(lifespans_all!J$2:J$56,MATCH($A21,lifespans_all!$A$2:$A$56,0))*INDEX(SR_mission_minutes!J$2:J$43,MATCH($A21,SR_mission_minutes!$A$2:$A$43)),"-")</f>
        <v>2294</v>
      </c>
      <c r="K21" s="108">
        <f>IFERROR(INDEX(lifespans_all!K$2:K$56,MATCH($A21,lifespans_all!$A$2:$A$56,0))*INDEX(SR_mission_minutes!K$2:K$43,MATCH($A21,SR_mission_minutes!$A$2:$A$43)),"-")</f>
        <v>2294</v>
      </c>
      <c r="L21" s="108">
        <f>IFERROR(INDEX(lifespans_all!L$2:L$56,MATCH($A21,lifespans_all!$A$2:$A$56,0))*INDEX(SR_mission_minutes!L$2:L$43,MATCH($A21,SR_mission_minutes!$A$2:$A$43)),"-")</f>
        <v>2294</v>
      </c>
      <c r="M21" s="108">
        <f>IFERROR(INDEX(lifespans_all!M$2:M$56,MATCH($A21,lifespans_all!$A$2:$A$56,0))*INDEX(SR_mission_minutes!M$2:M$43,MATCH($A21,SR_mission_minutes!$A$2:$A$43)),"-")</f>
        <v>2294</v>
      </c>
      <c r="N21" s="108">
        <f>IFERROR(INDEX(lifespans_all!N$2:N$56,MATCH($A21,lifespans_all!$A$2:$A$56,0))*INDEX(SR_mission_minutes!N$2:N$43,MATCH($A21,SR_mission_minutes!$A$2:$A$43)),"-")</f>
        <v>2294</v>
      </c>
      <c r="O21" s="108">
        <f>IFERROR(INDEX(lifespans_all!O$2:O$56,MATCH($A21,lifespans_all!$A$2:$A$56,0))*INDEX(SR_mission_minutes!O$2:O$43,MATCH($A21,SR_mission_minutes!$A$2:$A$43)),"-")</f>
        <v>2294</v>
      </c>
      <c r="P21" s="108">
        <f>IFERROR(INDEX(lifespans_all!P$2:P$56,MATCH($A21,lifespans_all!$A$2:$A$56,0))*INDEX(SR_mission_minutes!P$2:P$43,MATCH($A21,SR_mission_minutes!$A$2:$A$43)),"-")</f>
        <v>2294</v>
      </c>
      <c r="Q21" s="108">
        <f>IFERROR(INDEX(lifespans_all!Q$2:Q$56,MATCH($A21,lifespans_all!$A$2:$A$56,0))*INDEX(SR_mission_minutes!Q$2:Q$43,MATCH($A21,SR_mission_minutes!$A$2:$A$43)),"-")</f>
        <v>2294</v>
      </c>
      <c r="R21" s="108">
        <f>IFERROR(INDEX(lifespans_all!R$2:R$56,MATCH($A21,lifespans_all!$A$2:$A$56,0))*INDEX(SR_mission_minutes!R$2:R$43,MATCH($A21,SR_mission_minutes!$A$2:$A$43)),"-")</f>
        <v>2294</v>
      </c>
      <c r="S21" s="108">
        <f>IFERROR(INDEX(lifespans_all!S$2:S$56,MATCH($A21,lifespans_all!$A$2:$A$56,0))*INDEX(SR_mission_minutes!S$2:S$43,MATCH($A21,SR_mission_minutes!$A$2:$A$43)),"-")</f>
        <v>2294</v>
      </c>
      <c r="T21" s="108">
        <f>IFERROR(INDEX(lifespans_all!T$2:T$56,MATCH($A21,lifespans_all!$A$2:$A$56,0))*INDEX(SR_mission_minutes!T$2:T$43,MATCH($A21,SR_mission_minutes!$A$2:$A$43)),"-")</f>
        <v>2294</v>
      </c>
      <c r="U21" s="108">
        <f>IFERROR(INDEX(lifespans_all!U$2:U$56,MATCH($A21,lifespans_all!$A$2:$A$56,0))*INDEX(SR_mission_minutes!U$2:U$43,MATCH($A21,SR_mission_minutes!$A$2:$A$43)),"-")</f>
        <v>2294</v>
      </c>
      <c r="V21" s="108">
        <f>IFERROR(INDEX(lifespans_all!V$2:V$56,MATCH($A21,lifespans_all!$A$2:$A$56,0))*INDEX(SR_mission_minutes!V$2:V$43,MATCH($A21,SR_mission_minutes!$A$2:$A$43)),"-")</f>
        <v>2294</v>
      </c>
    </row>
    <row r="22" spans="1:22" x14ac:dyDescent="0.25">
      <c r="A22" s="32" t="s">
        <v>115</v>
      </c>
      <c r="B22" s="32" t="s">
        <v>40</v>
      </c>
      <c r="C22" s="108" t="str">
        <f>IFERROR(INDEX(lifespans_all!C$2:C$56,MATCH($A22,lifespans_all!$A$2:$A$56,0))*INDEX(SR_mission_minutes!C$2:C$43,MATCH($A22,SR_mission_minutes!$A$2:$A$43)),"-")</f>
        <v>-</v>
      </c>
      <c r="D22" s="108" t="str">
        <f>IFERROR(INDEX(lifespans_all!D$2:D$56,MATCH($A22,lifespans_all!$A$2:$A$56,0))*INDEX(SR_mission_minutes!D$2:D$43,MATCH($A22,SR_mission_minutes!$A$2:$A$43)),"-")</f>
        <v>-</v>
      </c>
      <c r="E22" s="108" t="str">
        <f>IFERROR(INDEX(lifespans_all!E$2:E$56,MATCH($A22,lifespans_all!$A$2:$A$56,0))*INDEX(SR_mission_minutes!E$2:E$43,MATCH($A22,SR_mission_minutes!$A$2:$A$43)),"-")</f>
        <v>-</v>
      </c>
      <c r="F22" s="108" t="str">
        <f>IFERROR(INDEX(lifespans_all!F$2:F$56,MATCH($A22,lifespans_all!$A$2:$A$56,0))*INDEX(SR_mission_minutes!F$2:F$43,MATCH($A22,SR_mission_minutes!$A$2:$A$43)),"-")</f>
        <v>-</v>
      </c>
      <c r="G22" s="108" t="str">
        <f>IFERROR(INDEX(lifespans_all!G$2:G$56,MATCH($A22,lifespans_all!$A$2:$A$56,0))*INDEX(SR_mission_minutes!G$2:G$43,MATCH($A22,SR_mission_minutes!$A$2:$A$43)),"-")</f>
        <v>-</v>
      </c>
      <c r="H22" s="108" t="str">
        <f>IFERROR(INDEX(lifespans_all!H$2:H$56,MATCH($A22,lifespans_all!$A$2:$A$56,0))*INDEX(SR_mission_minutes!H$2:H$43,MATCH($A22,SR_mission_minutes!$A$2:$A$43)),"-")</f>
        <v>-</v>
      </c>
      <c r="I22" s="108" t="str">
        <f>IFERROR(INDEX(lifespans_all!I$2:I$56,MATCH($A22,lifespans_all!$A$2:$A$56,0))*INDEX(SR_mission_minutes!I$2:I$43,MATCH($A22,SR_mission_minutes!$A$2:$A$43)),"-")</f>
        <v>-</v>
      </c>
      <c r="J22" s="108" t="str">
        <f>IFERROR(INDEX(lifespans_all!J$2:J$56,MATCH($A22,lifespans_all!$A$2:$A$56,0))*INDEX(SR_mission_minutes!J$2:J$43,MATCH($A22,SR_mission_minutes!$A$2:$A$43)),"-")</f>
        <v>-</v>
      </c>
      <c r="K22" s="108" t="str">
        <f>IFERROR(INDEX(lifespans_all!K$2:K$56,MATCH($A22,lifespans_all!$A$2:$A$56,0))*INDEX(SR_mission_minutes!K$2:K$43,MATCH($A22,SR_mission_minutes!$A$2:$A$43)),"-")</f>
        <v>-</v>
      </c>
      <c r="L22" s="108" t="str">
        <f>IFERROR(INDEX(lifespans_all!L$2:L$56,MATCH($A22,lifespans_all!$A$2:$A$56,0))*INDEX(SR_mission_minutes!L$2:L$43,MATCH($A22,SR_mission_minutes!$A$2:$A$43)),"-")</f>
        <v>-</v>
      </c>
      <c r="M22" s="108" t="str">
        <f>IFERROR(INDEX(lifespans_all!M$2:M$56,MATCH($A22,lifespans_all!$A$2:$A$56,0))*INDEX(SR_mission_minutes!M$2:M$43,MATCH($A22,SR_mission_minutes!$A$2:$A$43)),"-")</f>
        <v>-</v>
      </c>
      <c r="N22" s="108" t="str">
        <f>IFERROR(INDEX(lifespans_all!N$2:N$56,MATCH($A22,lifespans_all!$A$2:$A$56,0))*INDEX(SR_mission_minutes!N$2:N$43,MATCH($A22,SR_mission_minutes!$A$2:$A$43)),"-")</f>
        <v>-</v>
      </c>
      <c r="O22" s="108" t="str">
        <f>IFERROR(INDEX(lifespans_all!O$2:O$56,MATCH($A22,lifespans_all!$A$2:$A$56,0))*INDEX(SR_mission_minutes!O$2:O$43,MATCH($A22,SR_mission_minutes!$A$2:$A$43)),"-")</f>
        <v>-</v>
      </c>
      <c r="P22" s="108" t="str">
        <f>IFERROR(INDEX(lifespans_all!P$2:P$56,MATCH($A22,lifespans_all!$A$2:$A$56,0))*INDEX(SR_mission_minutes!P$2:P$43,MATCH($A22,SR_mission_minutes!$A$2:$A$43)),"-")</f>
        <v>-</v>
      </c>
      <c r="Q22" s="108" t="str">
        <f>IFERROR(INDEX(lifespans_all!Q$2:Q$56,MATCH($A22,lifespans_all!$A$2:$A$56,0))*INDEX(SR_mission_minutes!Q$2:Q$43,MATCH($A22,SR_mission_minutes!$A$2:$A$43)),"-")</f>
        <v>-</v>
      </c>
      <c r="R22" s="108" t="str">
        <f>IFERROR(INDEX(lifespans_all!R$2:R$56,MATCH($A22,lifespans_all!$A$2:$A$56,0))*INDEX(SR_mission_minutes!R$2:R$43,MATCH($A22,SR_mission_minutes!$A$2:$A$43)),"-")</f>
        <v>-</v>
      </c>
      <c r="S22" s="108" t="str">
        <f>IFERROR(INDEX(lifespans_all!S$2:S$56,MATCH($A22,lifespans_all!$A$2:$A$56,0))*INDEX(SR_mission_minutes!S$2:S$43,MATCH($A22,SR_mission_minutes!$A$2:$A$43)),"-")</f>
        <v>-</v>
      </c>
      <c r="T22" s="108" t="str">
        <f>IFERROR(INDEX(lifespans_all!T$2:T$56,MATCH($A22,lifespans_all!$A$2:$A$56,0))*INDEX(SR_mission_minutes!T$2:T$43,MATCH($A22,SR_mission_minutes!$A$2:$A$43)),"-")</f>
        <v>-</v>
      </c>
      <c r="U22" s="108" t="str">
        <f>IFERROR(INDEX(lifespans_all!U$2:U$56,MATCH($A22,lifespans_all!$A$2:$A$56,0))*INDEX(SR_mission_minutes!U$2:U$43,MATCH($A22,SR_mission_minutes!$A$2:$A$43)),"-")</f>
        <v>-</v>
      </c>
      <c r="V22" s="108" t="str">
        <f>IFERROR(INDEX(lifespans_all!V$2:V$56,MATCH($A22,lifespans_all!$A$2:$A$56,0))*INDEX(SR_mission_minutes!V$2:V$43,MATCH($A22,SR_mission_minutes!$A$2:$A$43)),"-")</f>
        <v>-</v>
      </c>
    </row>
    <row r="23" spans="1:22" x14ac:dyDescent="0.25">
      <c r="A23" s="32" t="s">
        <v>116</v>
      </c>
      <c r="B23" s="32" t="s">
        <v>40</v>
      </c>
      <c r="C23" s="108" t="str">
        <f>IFERROR(INDEX(lifespans_all!C$2:C$56,MATCH($A23,lifespans_all!$A$2:$A$56,0))*INDEX(SR_mission_minutes!C$2:C$43,MATCH($A23,SR_mission_minutes!$A$2:$A$43)),"-")</f>
        <v>-</v>
      </c>
      <c r="D23" s="108" t="str">
        <f>IFERROR(INDEX(lifespans_all!D$2:D$56,MATCH($A23,lifespans_all!$A$2:$A$56,0))*INDEX(SR_mission_minutes!D$2:D$43,MATCH($A23,SR_mission_minutes!$A$2:$A$43)),"-")</f>
        <v>-</v>
      </c>
      <c r="E23" s="108" t="str">
        <f>IFERROR(INDEX(lifespans_all!E$2:E$56,MATCH($A23,lifespans_all!$A$2:$A$56,0))*INDEX(SR_mission_minutes!E$2:E$43,MATCH($A23,SR_mission_minutes!$A$2:$A$43)),"-")</f>
        <v>-</v>
      </c>
      <c r="F23" s="108" t="str">
        <f>IFERROR(INDEX(lifespans_all!F$2:F$56,MATCH($A23,lifespans_all!$A$2:$A$56,0))*INDEX(SR_mission_minutes!F$2:F$43,MATCH($A23,SR_mission_minutes!$A$2:$A$43)),"-")</f>
        <v>-</v>
      </c>
      <c r="G23" s="108" t="str">
        <f>IFERROR(INDEX(lifespans_all!G$2:G$56,MATCH($A23,lifespans_all!$A$2:$A$56,0))*INDEX(SR_mission_minutes!G$2:G$43,MATCH($A23,SR_mission_minutes!$A$2:$A$43)),"-")</f>
        <v>-</v>
      </c>
      <c r="H23" s="108" t="str">
        <f>IFERROR(INDEX(lifespans_all!H$2:H$56,MATCH($A23,lifespans_all!$A$2:$A$56,0))*INDEX(SR_mission_minutes!H$2:H$43,MATCH($A23,SR_mission_minutes!$A$2:$A$43)),"-")</f>
        <v>-</v>
      </c>
      <c r="I23" s="108" t="str">
        <f>IFERROR(INDEX(lifespans_all!I$2:I$56,MATCH($A23,lifespans_all!$A$2:$A$56,0))*INDEX(SR_mission_minutes!I$2:I$43,MATCH($A23,SR_mission_minutes!$A$2:$A$43)),"-")</f>
        <v>-</v>
      </c>
      <c r="J23" s="108" t="str">
        <f>IFERROR(INDEX(lifespans_all!J$2:J$56,MATCH($A23,lifespans_all!$A$2:$A$56,0))*INDEX(SR_mission_minutes!J$2:J$43,MATCH($A23,SR_mission_minutes!$A$2:$A$43)),"-")</f>
        <v>-</v>
      </c>
      <c r="K23" s="108" t="str">
        <f>IFERROR(INDEX(lifespans_all!K$2:K$56,MATCH($A23,lifespans_all!$A$2:$A$56,0))*INDEX(SR_mission_minutes!K$2:K$43,MATCH($A23,SR_mission_minutes!$A$2:$A$43)),"-")</f>
        <v>-</v>
      </c>
      <c r="L23" s="108" t="str">
        <f>IFERROR(INDEX(lifespans_all!L$2:L$56,MATCH($A23,lifespans_all!$A$2:$A$56,0))*INDEX(SR_mission_minutes!L$2:L$43,MATCH($A23,SR_mission_minutes!$A$2:$A$43)),"-")</f>
        <v>-</v>
      </c>
      <c r="M23" s="108" t="str">
        <f>IFERROR(INDEX(lifespans_all!M$2:M$56,MATCH($A23,lifespans_all!$A$2:$A$56,0))*INDEX(SR_mission_minutes!M$2:M$43,MATCH($A23,SR_mission_minutes!$A$2:$A$43)),"-")</f>
        <v>-</v>
      </c>
      <c r="N23" s="108" t="str">
        <f>IFERROR(INDEX(lifespans_all!N$2:N$56,MATCH($A23,lifespans_all!$A$2:$A$56,0))*INDEX(SR_mission_minutes!N$2:N$43,MATCH($A23,SR_mission_minutes!$A$2:$A$43)),"-")</f>
        <v>-</v>
      </c>
      <c r="O23" s="108" t="str">
        <f>IFERROR(INDEX(lifespans_all!O$2:O$56,MATCH($A23,lifespans_all!$A$2:$A$56,0))*INDEX(SR_mission_minutes!O$2:O$43,MATCH($A23,SR_mission_minutes!$A$2:$A$43)),"-")</f>
        <v>-</v>
      </c>
      <c r="P23" s="108" t="str">
        <f>IFERROR(INDEX(lifespans_all!P$2:P$56,MATCH($A23,lifespans_all!$A$2:$A$56,0))*INDEX(SR_mission_minutes!P$2:P$43,MATCH($A23,SR_mission_minutes!$A$2:$A$43)),"-")</f>
        <v>-</v>
      </c>
      <c r="Q23" s="108" t="str">
        <f>IFERROR(INDEX(lifespans_all!Q$2:Q$56,MATCH($A23,lifespans_all!$A$2:$A$56,0))*INDEX(SR_mission_minutes!Q$2:Q$43,MATCH($A23,SR_mission_minutes!$A$2:$A$43)),"-")</f>
        <v>-</v>
      </c>
      <c r="R23" s="108" t="str">
        <f>IFERROR(INDEX(lifespans_all!R$2:R$56,MATCH($A23,lifespans_all!$A$2:$A$56,0))*INDEX(SR_mission_minutes!R$2:R$43,MATCH($A23,SR_mission_minutes!$A$2:$A$43)),"-")</f>
        <v>-</v>
      </c>
      <c r="S23" s="108" t="str">
        <f>IFERROR(INDEX(lifespans_all!S$2:S$56,MATCH($A23,lifespans_all!$A$2:$A$56,0))*INDEX(SR_mission_minutes!S$2:S$43,MATCH($A23,SR_mission_minutes!$A$2:$A$43)),"-")</f>
        <v>-</v>
      </c>
      <c r="T23" s="108" t="str">
        <f>IFERROR(INDEX(lifespans_all!T$2:T$56,MATCH($A23,lifespans_all!$A$2:$A$56,0))*INDEX(SR_mission_minutes!T$2:T$43,MATCH($A23,SR_mission_minutes!$A$2:$A$43)),"-")</f>
        <v>-</v>
      </c>
      <c r="U23" s="108" t="str">
        <f>IFERROR(INDEX(lifespans_all!U$2:U$56,MATCH($A23,lifespans_all!$A$2:$A$56,0))*INDEX(SR_mission_minutes!U$2:U$43,MATCH($A23,SR_mission_minutes!$A$2:$A$43)),"-")</f>
        <v>-</v>
      </c>
      <c r="V23" s="108" t="str">
        <f>IFERROR(INDEX(lifespans_all!V$2:V$56,MATCH($A23,lifespans_all!$A$2:$A$56,0))*INDEX(SR_mission_minutes!V$2:V$43,MATCH($A23,SR_mission_minutes!$A$2:$A$43)),"-")</f>
        <v>-</v>
      </c>
    </row>
    <row r="24" spans="1:22" x14ac:dyDescent="0.25">
      <c r="A24" s="32" t="s">
        <v>117</v>
      </c>
      <c r="B24" s="32" t="s">
        <v>40</v>
      </c>
      <c r="C24" s="108" t="str">
        <f>IFERROR(INDEX(lifespans_all!C$2:C$56,MATCH($A24,lifespans_all!$A$2:$A$56,0))*INDEX(SR_mission_minutes!C$2:C$43,MATCH($A24,SR_mission_minutes!$A$2:$A$43)),"-")</f>
        <v>-</v>
      </c>
      <c r="D24" s="108" t="str">
        <f>IFERROR(INDEX(lifespans_all!D$2:D$56,MATCH($A24,lifespans_all!$A$2:$A$56,0))*INDEX(SR_mission_minutes!D$2:D$43,MATCH($A24,SR_mission_minutes!$A$2:$A$43)),"-")</f>
        <v>-</v>
      </c>
      <c r="E24" s="108" t="str">
        <f>IFERROR(INDEX(lifespans_all!E$2:E$56,MATCH($A24,lifespans_all!$A$2:$A$56,0))*INDEX(SR_mission_minutes!E$2:E$43,MATCH($A24,SR_mission_minutes!$A$2:$A$43)),"-")</f>
        <v>-</v>
      </c>
      <c r="F24" s="108" t="str">
        <f>IFERROR(INDEX(lifespans_all!F$2:F$56,MATCH($A24,lifespans_all!$A$2:$A$56,0))*INDEX(SR_mission_minutes!F$2:F$43,MATCH($A24,SR_mission_minutes!$A$2:$A$43)),"-")</f>
        <v>-</v>
      </c>
      <c r="G24" s="108" t="str">
        <f>IFERROR(INDEX(lifespans_all!G$2:G$56,MATCH($A24,lifespans_all!$A$2:$A$56,0))*INDEX(SR_mission_minutes!G$2:G$43,MATCH($A24,SR_mission_minutes!$A$2:$A$43)),"-")</f>
        <v>-</v>
      </c>
      <c r="H24" s="108" t="str">
        <f>IFERROR(INDEX(lifespans_all!H$2:H$56,MATCH($A24,lifespans_all!$A$2:$A$56,0))*INDEX(SR_mission_minutes!H$2:H$43,MATCH($A24,SR_mission_minutes!$A$2:$A$43)),"-")</f>
        <v>-</v>
      </c>
      <c r="I24" s="108" t="str">
        <f>IFERROR(INDEX(lifespans_all!I$2:I$56,MATCH($A24,lifespans_all!$A$2:$A$56,0))*INDEX(SR_mission_minutes!I$2:I$43,MATCH($A24,SR_mission_minutes!$A$2:$A$43)),"-")</f>
        <v>-</v>
      </c>
      <c r="J24" s="108" t="str">
        <f>IFERROR(INDEX(lifespans_all!J$2:J$56,MATCH($A24,lifespans_all!$A$2:$A$56,0))*INDEX(SR_mission_minutes!J$2:J$43,MATCH($A24,SR_mission_minutes!$A$2:$A$43)),"-")</f>
        <v>-</v>
      </c>
      <c r="K24" s="108" t="str">
        <f>IFERROR(INDEX(lifespans_all!K$2:K$56,MATCH($A24,lifespans_all!$A$2:$A$56,0))*INDEX(SR_mission_minutes!K$2:K$43,MATCH($A24,SR_mission_minutes!$A$2:$A$43)),"-")</f>
        <v>-</v>
      </c>
      <c r="L24" s="108" t="str">
        <f>IFERROR(INDEX(lifespans_all!L$2:L$56,MATCH($A24,lifespans_all!$A$2:$A$56,0))*INDEX(SR_mission_minutes!L$2:L$43,MATCH($A24,SR_mission_minutes!$A$2:$A$43)),"-")</f>
        <v>-</v>
      </c>
      <c r="M24" s="108" t="str">
        <f>IFERROR(INDEX(lifespans_all!M$2:M$56,MATCH($A24,lifespans_all!$A$2:$A$56,0))*INDEX(SR_mission_minutes!M$2:M$43,MATCH($A24,SR_mission_minutes!$A$2:$A$43)),"-")</f>
        <v>-</v>
      </c>
      <c r="N24" s="108" t="str">
        <f>IFERROR(INDEX(lifespans_all!N$2:N$56,MATCH($A24,lifespans_all!$A$2:$A$56,0))*INDEX(SR_mission_minutes!N$2:N$43,MATCH($A24,SR_mission_minutes!$A$2:$A$43)),"-")</f>
        <v>-</v>
      </c>
      <c r="O24" s="108" t="str">
        <f>IFERROR(INDEX(lifespans_all!O$2:O$56,MATCH($A24,lifespans_all!$A$2:$A$56,0))*INDEX(SR_mission_minutes!O$2:O$43,MATCH($A24,SR_mission_minutes!$A$2:$A$43)),"-")</f>
        <v>-</v>
      </c>
      <c r="P24" s="108" t="str">
        <f>IFERROR(INDEX(lifespans_all!P$2:P$56,MATCH($A24,lifespans_all!$A$2:$A$56,0))*INDEX(SR_mission_minutes!P$2:P$43,MATCH($A24,SR_mission_minutes!$A$2:$A$43)),"-")</f>
        <v>-</v>
      </c>
      <c r="Q24" s="108" t="str">
        <f>IFERROR(INDEX(lifespans_all!Q$2:Q$56,MATCH($A24,lifespans_all!$A$2:$A$56,0))*INDEX(SR_mission_minutes!Q$2:Q$43,MATCH($A24,SR_mission_minutes!$A$2:$A$43)),"-")</f>
        <v>-</v>
      </c>
      <c r="R24" s="108" t="str">
        <f>IFERROR(INDEX(lifespans_all!R$2:R$56,MATCH($A24,lifespans_all!$A$2:$A$56,0))*INDEX(SR_mission_minutes!R$2:R$43,MATCH($A24,SR_mission_minutes!$A$2:$A$43)),"-")</f>
        <v>-</v>
      </c>
      <c r="S24" s="108" t="str">
        <f>IFERROR(INDEX(lifespans_all!S$2:S$56,MATCH($A24,lifespans_all!$A$2:$A$56,0))*INDEX(SR_mission_minutes!S$2:S$43,MATCH($A24,SR_mission_minutes!$A$2:$A$43)),"-")</f>
        <v>-</v>
      </c>
      <c r="T24" s="108" t="str">
        <f>IFERROR(INDEX(lifespans_all!T$2:T$56,MATCH($A24,lifespans_all!$A$2:$A$56,0))*INDEX(SR_mission_minutes!T$2:T$43,MATCH($A24,SR_mission_minutes!$A$2:$A$43)),"-")</f>
        <v>-</v>
      </c>
      <c r="U24" s="108" t="str">
        <f>IFERROR(INDEX(lifespans_all!U$2:U$56,MATCH($A24,lifespans_all!$A$2:$A$56,0))*INDEX(SR_mission_minutes!U$2:U$43,MATCH($A24,SR_mission_minutes!$A$2:$A$43)),"-")</f>
        <v>-</v>
      </c>
      <c r="V24" s="108" t="str">
        <f>IFERROR(INDEX(lifespans_all!V$2:V$56,MATCH($A24,lifespans_all!$A$2:$A$56,0))*INDEX(SR_mission_minutes!V$2:V$43,MATCH($A24,SR_mission_minutes!$A$2:$A$43)),"-")</f>
        <v>-</v>
      </c>
    </row>
    <row r="25" spans="1:22" x14ac:dyDescent="0.25">
      <c r="A25" s="32" t="s">
        <v>118</v>
      </c>
      <c r="B25" s="32" t="s">
        <v>40</v>
      </c>
      <c r="C25" s="108" t="str">
        <f>IFERROR(INDEX(lifespans_all!C$2:C$56,MATCH($A25,lifespans_all!$A$2:$A$56,0))*INDEX(SR_mission_minutes!C$2:C$43,MATCH($A25,SR_mission_minutes!$A$2:$A$43)),"-")</f>
        <v>-</v>
      </c>
      <c r="D25" s="108" t="str">
        <f>IFERROR(INDEX(lifespans_all!D$2:D$56,MATCH($A25,lifespans_all!$A$2:$A$56,0))*INDEX(SR_mission_minutes!D$2:D$43,MATCH($A25,SR_mission_minutes!$A$2:$A$43)),"-")</f>
        <v>-</v>
      </c>
      <c r="E25" s="108" t="str">
        <f>IFERROR(INDEX(lifespans_all!E$2:E$56,MATCH($A25,lifespans_all!$A$2:$A$56,0))*INDEX(SR_mission_minutes!E$2:E$43,MATCH($A25,SR_mission_minutes!$A$2:$A$43)),"-")</f>
        <v>-</v>
      </c>
      <c r="F25" s="108" t="str">
        <f>IFERROR(INDEX(lifespans_all!F$2:F$56,MATCH($A25,lifespans_all!$A$2:$A$56,0))*INDEX(SR_mission_minutes!F$2:F$43,MATCH($A25,SR_mission_minutes!$A$2:$A$43)),"-")</f>
        <v>-</v>
      </c>
      <c r="G25" s="108" t="str">
        <f>IFERROR(INDEX(lifespans_all!G$2:G$56,MATCH($A25,lifespans_all!$A$2:$A$56,0))*INDEX(SR_mission_minutes!G$2:G$43,MATCH($A25,SR_mission_minutes!$A$2:$A$43)),"-")</f>
        <v>-</v>
      </c>
      <c r="H25" s="108" t="str">
        <f>IFERROR(INDEX(lifespans_all!H$2:H$56,MATCH($A25,lifespans_all!$A$2:$A$56,0))*INDEX(SR_mission_minutes!H$2:H$43,MATCH($A25,SR_mission_minutes!$A$2:$A$43)),"-")</f>
        <v>-</v>
      </c>
      <c r="I25" s="108" t="str">
        <f>IFERROR(INDEX(lifespans_all!I$2:I$56,MATCH($A25,lifespans_all!$A$2:$A$56,0))*INDEX(SR_mission_minutes!I$2:I$43,MATCH($A25,SR_mission_minutes!$A$2:$A$43)),"-")</f>
        <v>-</v>
      </c>
      <c r="J25" s="108" t="str">
        <f>IFERROR(INDEX(lifespans_all!J$2:J$56,MATCH($A25,lifespans_all!$A$2:$A$56,0))*INDEX(SR_mission_minutes!J$2:J$43,MATCH($A25,SR_mission_minutes!$A$2:$A$43)),"-")</f>
        <v>-</v>
      </c>
      <c r="K25" s="108" t="str">
        <f>IFERROR(INDEX(lifespans_all!K$2:K$56,MATCH($A25,lifespans_all!$A$2:$A$56,0))*INDEX(SR_mission_minutes!K$2:K$43,MATCH($A25,SR_mission_minutes!$A$2:$A$43)),"-")</f>
        <v>-</v>
      </c>
      <c r="L25" s="108" t="str">
        <f>IFERROR(INDEX(lifespans_all!L$2:L$56,MATCH($A25,lifespans_all!$A$2:$A$56,0))*INDEX(SR_mission_minutes!L$2:L$43,MATCH($A25,SR_mission_minutes!$A$2:$A$43)),"-")</f>
        <v>-</v>
      </c>
      <c r="M25" s="108" t="str">
        <f>IFERROR(INDEX(lifespans_all!M$2:M$56,MATCH($A25,lifespans_all!$A$2:$A$56,0))*INDEX(SR_mission_minutes!M$2:M$43,MATCH($A25,SR_mission_minutes!$A$2:$A$43)),"-")</f>
        <v>-</v>
      </c>
      <c r="N25" s="108" t="str">
        <f>IFERROR(INDEX(lifespans_all!N$2:N$56,MATCH($A25,lifespans_all!$A$2:$A$56,0))*INDEX(SR_mission_minutes!N$2:N$43,MATCH($A25,SR_mission_minutes!$A$2:$A$43)),"-")</f>
        <v>-</v>
      </c>
      <c r="O25" s="108" t="str">
        <f>IFERROR(INDEX(lifespans_all!O$2:O$56,MATCH($A25,lifespans_all!$A$2:$A$56,0))*INDEX(SR_mission_minutes!O$2:O$43,MATCH($A25,SR_mission_minutes!$A$2:$A$43)),"-")</f>
        <v>-</v>
      </c>
      <c r="P25" s="108" t="str">
        <f>IFERROR(INDEX(lifespans_all!P$2:P$56,MATCH($A25,lifespans_all!$A$2:$A$56,0))*INDEX(SR_mission_minutes!P$2:P$43,MATCH($A25,SR_mission_minutes!$A$2:$A$43)),"-")</f>
        <v>-</v>
      </c>
      <c r="Q25" s="108" t="str">
        <f>IFERROR(INDEX(lifespans_all!Q$2:Q$56,MATCH($A25,lifespans_all!$A$2:$A$56,0))*INDEX(SR_mission_minutes!Q$2:Q$43,MATCH($A25,SR_mission_minutes!$A$2:$A$43)),"-")</f>
        <v>-</v>
      </c>
      <c r="R25" s="108" t="str">
        <f>IFERROR(INDEX(lifespans_all!R$2:R$56,MATCH($A25,lifespans_all!$A$2:$A$56,0))*INDEX(SR_mission_minutes!R$2:R$43,MATCH($A25,SR_mission_minutes!$A$2:$A$43)),"-")</f>
        <v>-</v>
      </c>
      <c r="S25" s="108" t="str">
        <f>IFERROR(INDEX(lifespans_all!S$2:S$56,MATCH($A25,lifespans_all!$A$2:$A$56,0))*INDEX(SR_mission_minutes!S$2:S$43,MATCH($A25,SR_mission_minutes!$A$2:$A$43)),"-")</f>
        <v>-</v>
      </c>
      <c r="T25" s="108" t="str">
        <f>IFERROR(INDEX(lifespans_all!T$2:T$56,MATCH($A25,lifespans_all!$A$2:$A$56,0))*INDEX(SR_mission_minutes!T$2:T$43,MATCH($A25,SR_mission_minutes!$A$2:$A$43)),"-")</f>
        <v>-</v>
      </c>
      <c r="U25" s="108" t="str">
        <f>IFERROR(INDEX(lifespans_all!U$2:U$56,MATCH($A25,lifespans_all!$A$2:$A$56,0))*INDEX(SR_mission_minutes!U$2:U$43,MATCH($A25,SR_mission_minutes!$A$2:$A$43)),"-")</f>
        <v>-</v>
      </c>
      <c r="V25" s="108" t="str">
        <f>IFERROR(INDEX(lifespans_all!V$2:V$56,MATCH($A25,lifespans_all!$A$2:$A$56,0))*INDEX(SR_mission_minutes!V$2:V$43,MATCH($A25,SR_mission_minutes!$A$2:$A$43)),"-")</f>
        <v>-</v>
      </c>
    </row>
    <row r="26" spans="1:22" x14ac:dyDescent="0.25">
      <c r="A26" s="32" t="s">
        <v>27</v>
      </c>
      <c r="B26" s="32" t="s">
        <v>45</v>
      </c>
      <c r="C26" s="108">
        <f>IFERROR(INDEX(lifespans_all!C$2:C$56,MATCH($A26,lifespans_all!$A$2:$A$56,0))*INDEX(SR_mission_minutes!C$2:C$43,MATCH($A26,SR_mission_minutes!$A$2:$A$43)),"-")</f>
        <v>33739.333333333336</v>
      </c>
      <c r="D26" s="108">
        <f>IFERROR(INDEX(lifespans_all!D$2:D$56,MATCH($A26,lifespans_all!$A$2:$A$56,0))*INDEX(SR_mission_minutes!D$2:D$43,MATCH($A26,SR_mission_minutes!$A$2:$A$43)),"-")</f>
        <v>0</v>
      </c>
      <c r="E26" s="108">
        <f>IFERROR(INDEX(lifespans_all!E$2:E$56,MATCH($A26,lifespans_all!$A$2:$A$56,0))*INDEX(SR_mission_minutes!E$2:E$43,MATCH($A26,SR_mission_minutes!$A$2:$A$43)),"-")</f>
        <v>0</v>
      </c>
      <c r="F26" s="108">
        <f>IFERROR(INDEX(lifespans_all!F$2:F$56,MATCH($A26,lifespans_all!$A$2:$A$56,0))*INDEX(SR_mission_minutes!F$2:F$43,MATCH($A26,SR_mission_minutes!$A$2:$A$43)),"-")</f>
        <v>0</v>
      </c>
      <c r="G26" s="108">
        <f>IFERROR(INDEX(lifespans_all!G$2:G$56,MATCH($A26,lifespans_all!$A$2:$A$56,0))*INDEX(SR_mission_minutes!G$2:G$43,MATCH($A26,SR_mission_minutes!$A$2:$A$43)),"-")</f>
        <v>0</v>
      </c>
      <c r="H26" s="108">
        <f>IFERROR(INDEX(lifespans_all!H$2:H$56,MATCH($A26,lifespans_all!$A$2:$A$56,0))*INDEX(SR_mission_minutes!H$2:H$43,MATCH($A26,SR_mission_minutes!$A$2:$A$43)),"-")</f>
        <v>0</v>
      </c>
      <c r="I26" s="108">
        <f>IFERROR(INDEX(lifespans_all!I$2:I$56,MATCH($A26,lifespans_all!$A$2:$A$56,0))*INDEX(SR_mission_minutes!I$2:I$43,MATCH($A26,SR_mission_minutes!$A$2:$A$43)),"-")</f>
        <v>0</v>
      </c>
      <c r="J26" s="108">
        <f>IFERROR(INDEX(lifespans_all!J$2:J$56,MATCH($A26,lifespans_all!$A$2:$A$56,0))*INDEX(SR_mission_minutes!J$2:J$43,MATCH($A26,SR_mission_minutes!$A$2:$A$43)),"-")</f>
        <v>0</v>
      </c>
      <c r="K26" s="108">
        <f>IFERROR(INDEX(lifespans_all!K$2:K$56,MATCH($A26,lifespans_all!$A$2:$A$56,0))*INDEX(SR_mission_minutes!K$2:K$43,MATCH($A26,SR_mission_minutes!$A$2:$A$43)),"-")</f>
        <v>0</v>
      </c>
      <c r="L26" s="108">
        <f>IFERROR(INDEX(lifespans_all!L$2:L$56,MATCH($A26,lifespans_all!$A$2:$A$56,0))*INDEX(SR_mission_minutes!L$2:L$43,MATCH($A26,SR_mission_minutes!$A$2:$A$43)),"-")</f>
        <v>0</v>
      </c>
      <c r="M26" s="108">
        <f>IFERROR(INDEX(lifespans_all!M$2:M$56,MATCH($A26,lifespans_all!$A$2:$A$56,0))*INDEX(SR_mission_minutes!M$2:M$43,MATCH($A26,SR_mission_minutes!$A$2:$A$43)),"-")</f>
        <v>0</v>
      </c>
      <c r="N26" s="108">
        <f>IFERROR(INDEX(lifespans_all!N$2:N$56,MATCH($A26,lifespans_all!$A$2:$A$56,0))*INDEX(SR_mission_minutes!N$2:N$43,MATCH($A26,SR_mission_minutes!$A$2:$A$43)),"-")</f>
        <v>0</v>
      </c>
      <c r="O26" s="108">
        <f>IFERROR(INDEX(lifespans_all!O$2:O$56,MATCH($A26,lifespans_all!$A$2:$A$56,0))*INDEX(SR_mission_minutes!O$2:O$43,MATCH($A26,SR_mission_minutes!$A$2:$A$43)),"-")</f>
        <v>0</v>
      </c>
      <c r="P26" s="108">
        <f>IFERROR(INDEX(lifespans_all!P$2:P$56,MATCH($A26,lifespans_all!$A$2:$A$56,0))*INDEX(SR_mission_minutes!P$2:P$43,MATCH($A26,SR_mission_minutes!$A$2:$A$43)),"-")</f>
        <v>0</v>
      </c>
      <c r="Q26" s="108">
        <f>IFERROR(INDEX(lifespans_all!Q$2:Q$56,MATCH($A26,lifespans_all!$A$2:$A$56,0))*INDEX(SR_mission_minutes!Q$2:Q$43,MATCH($A26,SR_mission_minutes!$A$2:$A$43)),"-")</f>
        <v>0</v>
      </c>
      <c r="R26" s="108">
        <f>IFERROR(INDEX(lifespans_all!R$2:R$56,MATCH($A26,lifespans_all!$A$2:$A$56,0))*INDEX(SR_mission_minutes!R$2:R$43,MATCH($A26,SR_mission_minutes!$A$2:$A$43)),"-")</f>
        <v>0</v>
      </c>
      <c r="S26" s="108">
        <f>IFERROR(INDEX(lifespans_all!S$2:S$56,MATCH($A26,lifespans_all!$A$2:$A$56,0))*INDEX(SR_mission_minutes!S$2:S$43,MATCH($A26,SR_mission_minutes!$A$2:$A$43)),"-")</f>
        <v>0</v>
      </c>
      <c r="T26" s="108">
        <f>IFERROR(INDEX(lifespans_all!T$2:T$56,MATCH($A26,lifespans_all!$A$2:$A$56,0))*INDEX(SR_mission_minutes!T$2:T$43,MATCH($A26,SR_mission_minutes!$A$2:$A$43)),"-")</f>
        <v>0</v>
      </c>
      <c r="U26" s="108">
        <f>IFERROR(INDEX(lifespans_all!U$2:U$56,MATCH($A26,lifespans_all!$A$2:$A$56,0))*INDEX(SR_mission_minutes!U$2:U$43,MATCH($A26,SR_mission_minutes!$A$2:$A$43)),"-")</f>
        <v>0</v>
      </c>
      <c r="V26" s="108">
        <f>IFERROR(INDEX(lifespans_all!V$2:V$56,MATCH($A26,lifespans_all!$A$2:$A$56,0))*INDEX(SR_mission_minutes!V$2:V$43,MATCH($A26,SR_mission_minutes!$A$2:$A$43)),"-")</f>
        <v>0</v>
      </c>
    </row>
    <row r="27" spans="1:22" x14ac:dyDescent="0.25">
      <c r="A27" s="32" t="s">
        <v>28</v>
      </c>
      <c r="B27" s="32" t="s">
        <v>41</v>
      </c>
      <c r="C27" s="108">
        <f>IFERROR(INDEX(lifespans_all!C$2:C$56,MATCH($A27,lifespans_all!$A$2:$A$56,0))*INDEX(SR_mission_minutes!C$2:C$43,MATCH($A27,SR_mission_minutes!$A$2:$A$43)),"-")</f>
        <v>66700.388888888891</v>
      </c>
      <c r="D27" s="108">
        <f>IFERROR(INDEX(lifespans_all!D$2:D$56,MATCH($A27,lifespans_all!$A$2:$A$56,0))*INDEX(SR_mission_minutes!D$2:D$43,MATCH($A27,SR_mission_minutes!$A$2:$A$43)),"-")</f>
        <v>0</v>
      </c>
      <c r="E27" s="108">
        <f>IFERROR(INDEX(lifespans_all!E$2:E$56,MATCH($A27,lifespans_all!$A$2:$A$56,0))*INDEX(SR_mission_minutes!E$2:E$43,MATCH($A27,SR_mission_minutes!$A$2:$A$43)),"-")</f>
        <v>0</v>
      </c>
      <c r="F27" s="108">
        <f>IFERROR(INDEX(lifespans_all!F$2:F$56,MATCH($A27,lifespans_all!$A$2:$A$56,0))*INDEX(SR_mission_minutes!F$2:F$43,MATCH($A27,SR_mission_minutes!$A$2:$A$43)),"-")</f>
        <v>0</v>
      </c>
      <c r="G27" s="108">
        <f>IFERROR(INDEX(lifespans_all!G$2:G$56,MATCH($A27,lifespans_all!$A$2:$A$56,0))*INDEX(SR_mission_minutes!G$2:G$43,MATCH($A27,SR_mission_minutes!$A$2:$A$43)),"-")</f>
        <v>0</v>
      </c>
      <c r="H27" s="108">
        <f>IFERROR(INDEX(lifespans_all!H$2:H$56,MATCH($A27,lifespans_all!$A$2:$A$56,0))*INDEX(SR_mission_minutes!H$2:H$43,MATCH($A27,SR_mission_minutes!$A$2:$A$43)),"-")</f>
        <v>0</v>
      </c>
      <c r="I27" s="108">
        <f>IFERROR(INDEX(lifespans_all!I$2:I$56,MATCH($A27,lifespans_all!$A$2:$A$56,0))*INDEX(SR_mission_minutes!I$2:I$43,MATCH($A27,SR_mission_minutes!$A$2:$A$43)),"-")</f>
        <v>0</v>
      </c>
      <c r="J27" s="108">
        <f>IFERROR(INDEX(lifespans_all!J$2:J$56,MATCH($A27,lifespans_all!$A$2:$A$56,0))*INDEX(SR_mission_minutes!J$2:J$43,MATCH($A27,SR_mission_minutes!$A$2:$A$43)),"-")</f>
        <v>0</v>
      </c>
      <c r="K27" s="108">
        <f>IFERROR(INDEX(lifespans_all!K$2:K$56,MATCH($A27,lifespans_all!$A$2:$A$56,0))*INDEX(SR_mission_minutes!K$2:K$43,MATCH($A27,SR_mission_minutes!$A$2:$A$43)),"-")</f>
        <v>0</v>
      </c>
      <c r="L27" s="108">
        <f>IFERROR(INDEX(lifespans_all!L$2:L$56,MATCH($A27,lifespans_all!$A$2:$A$56,0))*INDEX(SR_mission_minutes!L$2:L$43,MATCH($A27,SR_mission_minutes!$A$2:$A$43)),"-")</f>
        <v>0</v>
      </c>
      <c r="M27" s="108">
        <f>IFERROR(INDEX(lifespans_all!M$2:M$56,MATCH($A27,lifespans_all!$A$2:$A$56,0))*INDEX(SR_mission_minutes!M$2:M$43,MATCH($A27,SR_mission_minutes!$A$2:$A$43)),"-")</f>
        <v>0</v>
      </c>
      <c r="N27" s="108">
        <f>IFERROR(INDEX(lifespans_all!N$2:N$56,MATCH($A27,lifespans_all!$A$2:$A$56,0))*INDEX(SR_mission_minutes!N$2:N$43,MATCH($A27,SR_mission_minutes!$A$2:$A$43)),"-")</f>
        <v>0</v>
      </c>
      <c r="O27" s="108">
        <f>IFERROR(INDEX(lifespans_all!O$2:O$56,MATCH($A27,lifespans_all!$A$2:$A$56,0))*INDEX(SR_mission_minutes!O$2:O$43,MATCH($A27,SR_mission_minutes!$A$2:$A$43)),"-")</f>
        <v>0</v>
      </c>
      <c r="P27" s="108">
        <f>IFERROR(INDEX(lifespans_all!P$2:P$56,MATCH($A27,lifespans_all!$A$2:$A$56,0))*INDEX(SR_mission_minutes!P$2:P$43,MATCH($A27,SR_mission_minutes!$A$2:$A$43)),"-")</f>
        <v>0</v>
      </c>
      <c r="Q27" s="108">
        <f>IFERROR(INDEX(lifespans_all!Q$2:Q$56,MATCH($A27,lifespans_all!$A$2:$A$56,0))*INDEX(SR_mission_minutes!Q$2:Q$43,MATCH($A27,SR_mission_minutes!$A$2:$A$43)),"-")</f>
        <v>0</v>
      </c>
      <c r="R27" s="108">
        <f>IFERROR(INDEX(lifespans_all!R$2:R$56,MATCH($A27,lifespans_all!$A$2:$A$56,0))*INDEX(SR_mission_minutes!R$2:R$43,MATCH($A27,SR_mission_minutes!$A$2:$A$43)),"-")</f>
        <v>0</v>
      </c>
      <c r="S27" s="108">
        <f>IFERROR(INDEX(lifespans_all!S$2:S$56,MATCH($A27,lifespans_all!$A$2:$A$56,0))*INDEX(SR_mission_minutes!S$2:S$43,MATCH($A27,SR_mission_minutes!$A$2:$A$43)),"-")</f>
        <v>0</v>
      </c>
      <c r="T27" s="108">
        <f>IFERROR(INDEX(lifespans_all!T$2:T$56,MATCH($A27,lifespans_all!$A$2:$A$56,0))*INDEX(SR_mission_minutes!T$2:T$43,MATCH($A27,SR_mission_minutes!$A$2:$A$43)),"-")</f>
        <v>0</v>
      </c>
      <c r="U27" s="108">
        <f>IFERROR(INDEX(lifespans_all!U$2:U$56,MATCH($A27,lifespans_all!$A$2:$A$56,0))*INDEX(SR_mission_minutes!U$2:U$43,MATCH($A27,SR_mission_minutes!$A$2:$A$43)),"-")</f>
        <v>0</v>
      </c>
      <c r="V27" s="108">
        <f>IFERROR(INDEX(lifespans_all!V$2:V$56,MATCH($A27,lifespans_all!$A$2:$A$56,0))*INDEX(SR_mission_minutes!V$2:V$43,MATCH($A27,SR_mission_minutes!$A$2:$A$43)),"-")</f>
        <v>0</v>
      </c>
    </row>
    <row r="28" spans="1:22" x14ac:dyDescent="0.25">
      <c r="A28" s="32" t="s">
        <v>62</v>
      </c>
      <c r="B28" s="32" t="s">
        <v>41</v>
      </c>
      <c r="C28" s="108">
        <f>IFERROR(INDEX(lifespans_all!C$2:C$56,MATCH($A28,lifespans_all!$A$2:$A$56,0))*INDEX(SR_mission_minutes!C$2:C$43,MATCH($A28,SR_mission_minutes!$A$2:$A$43)),"-")</f>
        <v>66700.388888888891</v>
      </c>
      <c r="D28" s="108">
        <f>IFERROR(INDEX(lifespans_all!D$2:D$56,MATCH($A28,lifespans_all!$A$2:$A$56,0))*INDEX(SR_mission_minutes!D$2:D$43,MATCH($A28,SR_mission_minutes!$A$2:$A$43)),"-")</f>
        <v>66700.388888888891</v>
      </c>
      <c r="E28" s="108">
        <f>IFERROR(INDEX(lifespans_all!E$2:E$56,MATCH($A28,lifespans_all!$A$2:$A$56,0))*INDEX(SR_mission_minutes!E$2:E$43,MATCH($A28,SR_mission_minutes!$A$2:$A$43)),"-")</f>
        <v>66700.388888888891</v>
      </c>
      <c r="F28" s="108">
        <f>IFERROR(INDEX(lifespans_all!F$2:F$56,MATCH($A28,lifespans_all!$A$2:$A$56,0))*INDEX(SR_mission_minutes!F$2:F$43,MATCH($A28,SR_mission_minutes!$A$2:$A$43)),"-")</f>
        <v>66700.388888888891</v>
      </c>
      <c r="G28" s="108">
        <f>IFERROR(INDEX(lifespans_all!G$2:G$56,MATCH($A28,lifespans_all!$A$2:$A$56,0))*INDEX(SR_mission_minutes!G$2:G$43,MATCH($A28,SR_mission_minutes!$A$2:$A$43)),"-")</f>
        <v>66700.388888888891</v>
      </c>
      <c r="H28" s="108">
        <f>IFERROR(INDEX(lifespans_all!H$2:H$56,MATCH($A28,lifespans_all!$A$2:$A$56,0))*INDEX(SR_mission_minutes!H$2:H$43,MATCH($A28,SR_mission_minutes!$A$2:$A$43)),"-")</f>
        <v>0</v>
      </c>
      <c r="I28" s="108">
        <f>IFERROR(INDEX(lifespans_all!I$2:I$56,MATCH($A28,lifespans_all!$A$2:$A$56,0))*INDEX(SR_mission_minutes!I$2:I$43,MATCH($A28,SR_mission_minutes!$A$2:$A$43)),"-")</f>
        <v>0</v>
      </c>
      <c r="J28" s="108">
        <f>IFERROR(INDEX(lifespans_all!J$2:J$56,MATCH($A28,lifespans_all!$A$2:$A$56,0))*INDEX(SR_mission_minutes!J$2:J$43,MATCH($A28,SR_mission_minutes!$A$2:$A$43)),"-")</f>
        <v>0</v>
      </c>
      <c r="K28" s="108">
        <f>IFERROR(INDEX(lifespans_all!K$2:K$56,MATCH($A28,lifespans_all!$A$2:$A$56,0))*INDEX(SR_mission_minutes!K$2:K$43,MATCH($A28,SR_mission_minutes!$A$2:$A$43)),"-")</f>
        <v>0</v>
      </c>
      <c r="L28" s="108">
        <f>IFERROR(INDEX(lifespans_all!L$2:L$56,MATCH($A28,lifespans_all!$A$2:$A$56,0))*INDEX(SR_mission_minutes!L$2:L$43,MATCH($A28,SR_mission_minutes!$A$2:$A$43)),"-")</f>
        <v>0</v>
      </c>
      <c r="M28" s="108">
        <f>IFERROR(INDEX(lifespans_all!M$2:M$56,MATCH($A28,lifespans_all!$A$2:$A$56,0))*INDEX(SR_mission_minutes!M$2:M$43,MATCH($A28,SR_mission_minutes!$A$2:$A$43)),"-")</f>
        <v>0</v>
      </c>
      <c r="N28" s="108">
        <f>IFERROR(INDEX(lifespans_all!N$2:N$56,MATCH($A28,lifespans_all!$A$2:$A$56,0))*INDEX(SR_mission_minutes!N$2:N$43,MATCH($A28,SR_mission_minutes!$A$2:$A$43)),"-")</f>
        <v>0</v>
      </c>
      <c r="O28" s="108">
        <f>IFERROR(INDEX(lifespans_all!O$2:O$56,MATCH($A28,lifespans_all!$A$2:$A$56,0))*INDEX(SR_mission_minutes!O$2:O$43,MATCH($A28,SR_mission_minutes!$A$2:$A$43)),"-")</f>
        <v>0</v>
      </c>
      <c r="P28" s="108">
        <f>IFERROR(INDEX(lifespans_all!P$2:P$56,MATCH($A28,lifespans_all!$A$2:$A$56,0))*INDEX(SR_mission_minutes!P$2:P$43,MATCH($A28,SR_mission_minutes!$A$2:$A$43)),"-")</f>
        <v>0</v>
      </c>
      <c r="Q28" s="108">
        <f>IFERROR(INDEX(lifespans_all!Q$2:Q$56,MATCH($A28,lifespans_all!$A$2:$A$56,0))*INDEX(SR_mission_minutes!Q$2:Q$43,MATCH($A28,SR_mission_minutes!$A$2:$A$43)),"-")</f>
        <v>0</v>
      </c>
      <c r="R28" s="108">
        <f>IFERROR(INDEX(lifespans_all!R$2:R$56,MATCH($A28,lifespans_all!$A$2:$A$56,0))*INDEX(SR_mission_minutes!R$2:R$43,MATCH($A28,SR_mission_minutes!$A$2:$A$43)),"-")</f>
        <v>0</v>
      </c>
      <c r="S28" s="108">
        <f>IFERROR(INDEX(lifespans_all!S$2:S$56,MATCH($A28,lifespans_all!$A$2:$A$56,0))*INDEX(SR_mission_minutes!S$2:S$43,MATCH($A28,SR_mission_minutes!$A$2:$A$43)),"-")</f>
        <v>0</v>
      </c>
      <c r="T28" s="108">
        <f>IFERROR(INDEX(lifespans_all!T$2:T$56,MATCH($A28,lifespans_all!$A$2:$A$56,0))*INDEX(SR_mission_minutes!T$2:T$43,MATCH($A28,SR_mission_minutes!$A$2:$A$43)),"-")</f>
        <v>0</v>
      </c>
      <c r="U28" s="108">
        <f>IFERROR(INDEX(lifespans_all!U$2:U$56,MATCH($A28,lifespans_all!$A$2:$A$56,0))*INDEX(SR_mission_minutes!U$2:U$43,MATCH($A28,SR_mission_minutes!$A$2:$A$43)),"-")</f>
        <v>0</v>
      </c>
      <c r="V28" s="108">
        <f>IFERROR(INDEX(lifespans_all!V$2:V$56,MATCH($A28,lifespans_all!$A$2:$A$56,0))*INDEX(SR_mission_minutes!V$2:V$43,MATCH($A28,SR_mission_minutes!$A$2:$A$43)),"-")</f>
        <v>0</v>
      </c>
    </row>
    <row r="29" spans="1:22" x14ac:dyDescent="0.25">
      <c r="A29" s="32" t="s">
        <v>29</v>
      </c>
      <c r="B29" s="32" t="s">
        <v>41</v>
      </c>
      <c r="C29" s="108">
        <f>IFERROR(INDEX(lifespans_all!C$2:C$56,MATCH($A29,lifespans_all!$A$2:$A$56,0))*INDEX(SR_mission_minutes!C$2:C$43,MATCH($A29,SR_mission_minutes!$A$2:$A$43)),"-")</f>
        <v>66700.388888888891</v>
      </c>
      <c r="D29" s="108">
        <f>IFERROR(INDEX(lifespans_all!D$2:D$56,MATCH($A29,lifespans_all!$A$2:$A$56,0))*INDEX(SR_mission_minutes!D$2:D$43,MATCH($A29,SR_mission_minutes!$A$2:$A$43)),"-")</f>
        <v>66700.388888888891</v>
      </c>
      <c r="E29" s="108">
        <f>IFERROR(INDEX(lifespans_all!E$2:E$56,MATCH($A29,lifespans_all!$A$2:$A$56,0))*INDEX(SR_mission_minutes!E$2:E$43,MATCH($A29,SR_mission_minutes!$A$2:$A$43)),"-")</f>
        <v>66700.388888888891</v>
      </c>
      <c r="F29" s="108">
        <f>IFERROR(INDEX(lifespans_all!F$2:F$56,MATCH($A29,lifespans_all!$A$2:$A$56,0))*INDEX(SR_mission_minutes!F$2:F$43,MATCH($A29,SR_mission_minutes!$A$2:$A$43)),"-")</f>
        <v>0</v>
      </c>
      <c r="G29" s="108">
        <f>IFERROR(INDEX(lifespans_all!G$2:G$56,MATCH($A29,lifespans_all!$A$2:$A$56,0))*INDEX(SR_mission_minutes!G$2:G$43,MATCH($A29,SR_mission_minutes!$A$2:$A$43)),"-")</f>
        <v>0</v>
      </c>
      <c r="H29" s="108">
        <f>IFERROR(INDEX(lifespans_all!H$2:H$56,MATCH($A29,lifespans_all!$A$2:$A$56,0))*INDEX(SR_mission_minutes!H$2:H$43,MATCH($A29,SR_mission_minutes!$A$2:$A$43)),"-")</f>
        <v>0</v>
      </c>
      <c r="I29" s="108">
        <f>IFERROR(INDEX(lifespans_all!I$2:I$56,MATCH($A29,lifespans_all!$A$2:$A$56,0))*INDEX(SR_mission_minutes!I$2:I$43,MATCH($A29,SR_mission_minutes!$A$2:$A$43)),"-")</f>
        <v>0</v>
      </c>
      <c r="J29" s="108">
        <f>IFERROR(INDEX(lifespans_all!J$2:J$56,MATCH($A29,lifespans_all!$A$2:$A$56,0))*INDEX(SR_mission_minutes!J$2:J$43,MATCH($A29,SR_mission_minutes!$A$2:$A$43)),"-")</f>
        <v>0</v>
      </c>
      <c r="K29" s="108">
        <f>IFERROR(INDEX(lifespans_all!K$2:K$56,MATCH($A29,lifespans_all!$A$2:$A$56,0))*INDEX(SR_mission_minutes!K$2:K$43,MATCH($A29,SR_mission_minutes!$A$2:$A$43)),"-")</f>
        <v>0</v>
      </c>
      <c r="L29" s="108">
        <f>IFERROR(INDEX(lifespans_all!L$2:L$56,MATCH($A29,lifespans_all!$A$2:$A$56,0))*INDEX(SR_mission_minutes!L$2:L$43,MATCH($A29,SR_mission_minutes!$A$2:$A$43)),"-")</f>
        <v>0</v>
      </c>
      <c r="M29" s="108">
        <f>IFERROR(INDEX(lifespans_all!M$2:M$56,MATCH($A29,lifespans_all!$A$2:$A$56,0))*INDEX(SR_mission_minutes!M$2:M$43,MATCH($A29,SR_mission_minutes!$A$2:$A$43)),"-")</f>
        <v>0</v>
      </c>
      <c r="N29" s="108">
        <f>IFERROR(INDEX(lifespans_all!N$2:N$56,MATCH($A29,lifespans_all!$A$2:$A$56,0))*INDEX(SR_mission_minutes!N$2:N$43,MATCH($A29,SR_mission_minutes!$A$2:$A$43)),"-")</f>
        <v>0</v>
      </c>
      <c r="O29" s="108">
        <f>IFERROR(INDEX(lifespans_all!O$2:O$56,MATCH($A29,lifespans_all!$A$2:$A$56,0))*INDEX(SR_mission_minutes!O$2:O$43,MATCH($A29,SR_mission_minutes!$A$2:$A$43)),"-")</f>
        <v>0</v>
      </c>
      <c r="P29" s="108">
        <f>IFERROR(INDEX(lifespans_all!P$2:P$56,MATCH($A29,lifespans_all!$A$2:$A$56,0))*INDEX(SR_mission_minutes!P$2:P$43,MATCH($A29,SR_mission_minutes!$A$2:$A$43)),"-")</f>
        <v>0</v>
      </c>
      <c r="Q29" s="108">
        <f>IFERROR(INDEX(lifespans_all!Q$2:Q$56,MATCH($A29,lifespans_all!$A$2:$A$56,0))*INDEX(SR_mission_minutes!Q$2:Q$43,MATCH($A29,SR_mission_minutes!$A$2:$A$43)),"-")</f>
        <v>0</v>
      </c>
      <c r="R29" s="108">
        <f>IFERROR(INDEX(lifespans_all!R$2:R$56,MATCH($A29,lifespans_all!$A$2:$A$56,0))*INDEX(SR_mission_minutes!R$2:R$43,MATCH($A29,SR_mission_minutes!$A$2:$A$43)),"-")</f>
        <v>0</v>
      </c>
      <c r="S29" s="108">
        <f>IFERROR(INDEX(lifespans_all!S$2:S$56,MATCH($A29,lifespans_all!$A$2:$A$56,0))*INDEX(SR_mission_minutes!S$2:S$43,MATCH($A29,SR_mission_minutes!$A$2:$A$43)),"-")</f>
        <v>0</v>
      </c>
      <c r="T29" s="108">
        <f>IFERROR(INDEX(lifespans_all!T$2:T$56,MATCH($A29,lifespans_all!$A$2:$A$56,0))*INDEX(SR_mission_minutes!T$2:T$43,MATCH($A29,SR_mission_minutes!$A$2:$A$43)),"-")</f>
        <v>0</v>
      </c>
      <c r="U29" s="108">
        <f>IFERROR(INDEX(lifespans_all!U$2:U$56,MATCH($A29,lifespans_all!$A$2:$A$56,0))*INDEX(SR_mission_minutes!U$2:U$43,MATCH($A29,SR_mission_minutes!$A$2:$A$43)),"-")</f>
        <v>0</v>
      </c>
      <c r="V29" s="108">
        <f>IFERROR(INDEX(lifespans_all!V$2:V$56,MATCH($A29,lifespans_all!$A$2:$A$56,0))*INDEX(SR_mission_minutes!V$2:V$43,MATCH($A29,SR_mission_minutes!$A$2:$A$43)),"-")</f>
        <v>0</v>
      </c>
    </row>
    <row r="30" spans="1:22" x14ac:dyDescent="0.25">
      <c r="A30" s="32" t="s">
        <v>30</v>
      </c>
      <c r="B30" s="32" t="s">
        <v>43</v>
      </c>
      <c r="C30" s="108">
        <f>IFERROR(INDEX(lifespans_all!C$2:C$56,MATCH($A30,lifespans_all!$A$2:$A$56,0))*INDEX(SR_mission_minutes!C$2:C$43,MATCH($A30,SR_mission_minutes!$A$2:$A$43)),"-")</f>
        <v>114879</v>
      </c>
      <c r="D30" s="108">
        <f>IFERROR(INDEX(lifespans_all!D$2:D$56,MATCH($A30,lifespans_all!$A$2:$A$56,0))*INDEX(SR_mission_minutes!D$2:D$43,MATCH($A30,SR_mission_minutes!$A$2:$A$43)),"-")</f>
        <v>114879</v>
      </c>
      <c r="E30" s="108">
        <f>IFERROR(INDEX(lifespans_all!E$2:E$56,MATCH($A30,lifespans_all!$A$2:$A$56,0))*INDEX(SR_mission_minutes!E$2:E$43,MATCH($A30,SR_mission_minutes!$A$2:$A$43)),"-")</f>
        <v>114879</v>
      </c>
      <c r="F30" s="108">
        <f>IFERROR(INDEX(lifespans_all!F$2:F$56,MATCH($A30,lifespans_all!$A$2:$A$56,0))*INDEX(SR_mission_minutes!F$2:F$43,MATCH($A30,SR_mission_minutes!$A$2:$A$43)),"-")</f>
        <v>114879</v>
      </c>
      <c r="G30" s="108">
        <f>IFERROR(INDEX(lifespans_all!G$2:G$56,MATCH($A30,lifespans_all!$A$2:$A$56,0))*INDEX(SR_mission_minutes!G$2:G$43,MATCH($A30,SR_mission_minutes!$A$2:$A$43)),"-")</f>
        <v>114879</v>
      </c>
      <c r="H30" s="108">
        <f>IFERROR(INDEX(lifespans_all!H$2:H$56,MATCH($A30,lifespans_all!$A$2:$A$56,0))*INDEX(SR_mission_minutes!H$2:H$43,MATCH($A30,SR_mission_minutes!$A$2:$A$43)),"-")</f>
        <v>114879</v>
      </c>
      <c r="I30" s="108">
        <f>IFERROR(INDEX(lifespans_all!I$2:I$56,MATCH($A30,lifespans_all!$A$2:$A$56,0))*INDEX(SR_mission_minutes!I$2:I$43,MATCH($A30,SR_mission_minutes!$A$2:$A$43)),"-")</f>
        <v>114879</v>
      </c>
      <c r="J30" s="108">
        <f>IFERROR(INDEX(lifespans_all!J$2:J$56,MATCH($A30,lifespans_all!$A$2:$A$56,0))*INDEX(SR_mission_minutes!J$2:J$43,MATCH($A30,SR_mission_minutes!$A$2:$A$43)),"-")</f>
        <v>114879</v>
      </c>
      <c r="K30" s="108">
        <f>IFERROR(INDEX(lifespans_all!K$2:K$56,MATCH($A30,lifespans_all!$A$2:$A$56,0))*INDEX(SR_mission_minutes!K$2:K$43,MATCH($A30,SR_mission_minutes!$A$2:$A$43)),"-")</f>
        <v>114879</v>
      </c>
      <c r="L30" s="108">
        <f>IFERROR(INDEX(lifespans_all!L$2:L$56,MATCH($A30,lifespans_all!$A$2:$A$56,0))*INDEX(SR_mission_minutes!L$2:L$43,MATCH($A30,SR_mission_minutes!$A$2:$A$43)),"-")</f>
        <v>114879</v>
      </c>
      <c r="M30" s="108">
        <f>IFERROR(INDEX(lifespans_all!M$2:M$56,MATCH($A30,lifespans_all!$A$2:$A$56,0))*INDEX(SR_mission_minutes!M$2:M$43,MATCH($A30,SR_mission_minutes!$A$2:$A$43)),"-")</f>
        <v>114879</v>
      </c>
      <c r="N30" s="108">
        <f>IFERROR(INDEX(lifespans_all!N$2:N$56,MATCH($A30,lifespans_all!$A$2:$A$56,0))*INDEX(SR_mission_minutes!N$2:N$43,MATCH($A30,SR_mission_minutes!$A$2:$A$43)),"-")</f>
        <v>114879</v>
      </c>
      <c r="O30" s="108">
        <f>IFERROR(INDEX(lifespans_all!O$2:O$56,MATCH($A30,lifespans_all!$A$2:$A$56,0))*INDEX(SR_mission_minutes!O$2:O$43,MATCH($A30,SR_mission_minutes!$A$2:$A$43)),"-")</f>
        <v>114879</v>
      </c>
      <c r="P30" s="108">
        <f>IFERROR(INDEX(lifespans_all!P$2:P$56,MATCH($A30,lifespans_all!$A$2:$A$56,0))*INDEX(SR_mission_minutes!P$2:P$43,MATCH($A30,SR_mission_minutes!$A$2:$A$43)),"-")</f>
        <v>114879</v>
      </c>
      <c r="Q30" s="108">
        <f>IFERROR(INDEX(lifespans_all!Q$2:Q$56,MATCH($A30,lifespans_all!$A$2:$A$56,0))*INDEX(SR_mission_minutes!Q$2:Q$43,MATCH($A30,SR_mission_minutes!$A$2:$A$43)),"-")</f>
        <v>114879</v>
      </c>
      <c r="R30" s="108">
        <f>IFERROR(INDEX(lifespans_all!R$2:R$56,MATCH($A30,lifespans_all!$A$2:$A$56,0))*INDEX(SR_mission_minutes!R$2:R$43,MATCH($A30,SR_mission_minutes!$A$2:$A$43)),"-")</f>
        <v>114879</v>
      </c>
      <c r="S30" s="108">
        <f>IFERROR(INDEX(lifespans_all!S$2:S$56,MATCH($A30,lifespans_all!$A$2:$A$56,0))*INDEX(SR_mission_minutes!S$2:S$43,MATCH($A30,SR_mission_minutes!$A$2:$A$43)),"-")</f>
        <v>114879</v>
      </c>
      <c r="T30" s="108">
        <f>IFERROR(INDEX(lifespans_all!T$2:T$56,MATCH($A30,lifespans_all!$A$2:$A$56,0))*INDEX(SR_mission_minutes!T$2:T$43,MATCH($A30,SR_mission_minutes!$A$2:$A$43)),"-")</f>
        <v>114879</v>
      </c>
      <c r="U30" s="108">
        <f>IFERROR(INDEX(lifespans_all!U$2:U$56,MATCH($A30,lifespans_all!$A$2:$A$56,0))*INDEX(SR_mission_minutes!U$2:U$43,MATCH($A30,SR_mission_minutes!$A$2:$A$43)),"-")</f>
        <v>114879</v>
      </c>
      <c r="V30" s="108">
        <f>IFERROR(INDEX(lifespans_all!V$2:V$56,MATCH($A30,lifespans_all!$A$2:$A$56,0))*INDEX(SR_mission_minutes!V$2:V$43,MATCH($A30,SR_mission_minutes!$A$2:$A$43)),"-")</f>
        <v>114879</v>
      </c>
    </row>
    <row r="31" spans="1:22" x14ac:dyDescent="0.25">
      <c r="A31" s="32" t="s">
        <v>54</v>
      </c>
      <c r="B31" s="32" t="s">
        <v>43</v>
      </c>
      <c r="C31" s="108" t="str">
        <f>IFERROR(INDEX(lifespans_all!C$2:C$56,MATCH($A31,lifespans_all!$A$2:$A$56,0))*INDEX(SR_mission_minutes!C$2:C$43,MATCH($A31,SR_mission_minutes!$A$2:$A$43)),"-")</f>
        <v>-</v>
      </c>
      <c r="D31" s="108" t="str">
        <f>IFERROR(INDEX(lifespans_all!D$2:D$56,MATCH($A31,lifespans_all!$A$2:$A$56,0))*INDEX(SR_mission_minutes!D$2:D$43,MATCH($A31,SR_mission_minutes!$A$2:$A$43)),"-")</f>
        <v>-</v>
      </c>
      <c r="E31" s="108" t="str">
        <f>IFERROR(INDEX(lifespans_all!E$2:E$56,MATCH($A31,lifespans_all!$A$2:$A$56,0))*INDEX(SR_mission_minutes!E$2:E$43,MATCH($A31,SR_mission_minutes!$A$2:$A$43)),"-")</f>
        <v>-</v>
      </c>
      <c r="F31" s="108" t="str">
        <f>IFERROR(INDEX(lifespans_all!F$2:F$56,MATCH($A31,lifespans_all!$A$2:$A$56,0))*INDEX(SR_mission_minutes!F$2:F$43,MATCH($A31,SR_mission_minutes!$A$2:$A$43)),"-")</f>
        <v>-</v>
      </c>
      <c r="G31" s="108" t="str">
        <f>IFERROR(INDEX(lifespans_all!G$2:G$56,MATCH($A31,lifespans_all!$A$2:$A$56,0))*INDEX(SR_mission_minutes!G$2:G$43,MATCH($A31,SR_mission_minutes!$A$2:$A$43)),"-")</f>
        <v>-</v>
      </c>
      <c r="H31" s="108" t="str">
        <f>IFERROR(INDEX(lifespans_all!H$2:H$56,MATCH($A31,lifespans_all!$A$2:$A$56,0))*INDEX(SR_mission_minutes!H$2:H$43,MATCH($A31,SR_mission_minutes!$A$2:$A$43)),"-")</f>
        <v>-</v>
      </c>
      <c r="I31" s="108" t="str">
        <f>IFERROR(INDEX(lifespans_all!I$2:I$56,MATCH($A31,lifespans_all!$A$2:$A$56,0))*INDEX(SR_mission_minutes!I$2:I$43,MATCH($A31,SR_mission_minutes!$A$2:$A$43)),"-")</f>
        <v>-</v>
      </c>
      <c r="J31" s="108" t="str">
        <f>IFERROR(INDEX(lifespans_all!J$2:J$56,MATCH($A31,lifespans_all!$A$2:$A$56,0))*INDEX(SR_mission_minutes!J$2:J$43,MATCH($A31,SR_mission_minutes!$A$2:$A$43)),"-")</f>
        <v>-</v>
      </c>
      <c r="K31" s="108" t="str">
        <f>IFERROR(INDEX(lifespans_all!K$2:K$56,MATCH($A31,lifespans_all!$A$2:$A$56,0))*INDEX(SR_mission_minutes!K$2:K$43,MATCH($A31,SR_mission_minutes!$A$2:$A$43)),"-")</f>
        <v>-</v>
      </c>
      <c r="L31" s="108" t="str">
        <f>IFERROR(INDEX(lifespans_all!L$2:L$56,MATCH($A31,lifespans_all!$A$2:$A$56,0))*INDEX(SR_mission_minutes!L$2:L$43,MATCH($A31,SR_mission_minutes!$A$2:$A$43)),"-")</f>
        <v>-</v>
      </c>
      <c r="M31" s="108" t="str">
        <f>IFERROR(INDEX(lifespans_all!M$2:M$56,MATCH($A31,lifespans_all!$A$2:$A$56,0))*INDEX(SR_mission_minutes!M$2:M$43,MATCH($A31,SR_mission_minutes!$A$2:$A$43)),"-")</f>
        <v>-</v>
      </c>
      <c r="N31" s="108" t="str">
        <f>IFERROR(INDEX(lifespans_all!N$2:N$56,MATCH($A31,lifespans_all!$A$2:$A$56,0))*INDEX(SR_mission_minutes!N$2:N$43,MATCH($A31,SR_mission_minutes!$A$2:$A$43)),"-")</f>
        <v>-</v>
      </c>
      <c r="O31" s="108" t="str">
        <f>IFERROR(INDEX(lifespans_all!O$2:O$56,MATCH($A31,lifespans_all!$A$2:$A$56,0))*INDEX(SR_mission_minutes!O$2:O$43,MATCH($A31,SR_mission_minutes!$A$2:$A$43)),"-")</f>
        <v>-</v>
      </c>
      <c r="P31" s="108" t="str">
        <f>IFERROR(INDEX(lifespans_all!P$2:P$56,MATCH($A31,lifespans_all!$A$2:$A$56,0))*INDEX(SR_mission_minutes!P$2:P$43,MATCH($A31,SR_mission_minutes!$A$2:$A$43)),"-")</f>
        <v>-</v>
      </c>
      <c r="Q31" s="108" t="str">
        <f>IFERROR(INDEX(lifespans_all!Q$2:Q$56,MATCH($A31,lifespans_all!$A$2:$A$56,0))*INDEX(SR_mission_minutes!Q$2:Q$43,MATCH($A31,SR_mission_minutes!$A$2:$A$43)),"-")</f>
        <v>-</v>
      </c>
      <c r="R31" s="108" t="str">
        <f>IFERROR(INDEX(lifespans_all!R$2:R$56,MATCH($A31,lifespans_all!$A$2:$A$56,0))*INDEX(SR_mission_minutes!R$2:R$43,MATCH($A31,SR_mission_minutes!$A$2:$A$43)),"-")</f>
        <v>-</v>
      </c>
      <c r="S31" s="108" t="str">
        <f>IFERROR(INDEX(lifespans_all!S$2:S$56,MATCH($A31,lifespans_all!$A$2:$A$56,0))*INDEX(SR_mission_minutes!S$2:S$43,MATCH($A31,SR_mission_minutes!$A$2:$A$43)),"-")</f>
        <v>-</v>
      </c>
      <c r="T31" s="108" t="str">
        <f>IFERROR(INDEX(lifespans_all!T$2:T$56,MATCH($A31,lifespans_all!$A$2:$A$56,0))*INDEX(SR_mission_minutes!T$2:T$43,MATCH($A31,SR_mission_minutes!$A$2:$A$43)),"-")</f>
        <v>-</v>
      </c>
      <c r="U31" s="108" t="str">
        <f>IFERROR(INDEX(lifespans_all!U$2:U$56,MATCH($A31,lifespans_all!$A$2:$A$56,0))*INDEX(SR_mission_minutes!U$2:U$43,MATCH($A31,SR_mission_minutes!$A$2:$A$43)),"-")</f>
        <v>-</v>
      </c>
      <c r="V31" s="108" t="str">
        <f>IFERROR(INDEX(lifespans_all!V$2:V$56,MATCH($A31,lifespans_all!$A$2:$A$56,0))*INDEX(SR_mission_minutes!V$2:V$43,MATCH($A31,SR_mission_minutes!$A$2:$A$43)),"-")</f>
        <v>-</v>
      </c>
    </row>
    <row r="32" spans="1:22" x14ac:dyDescent="0.25">
      <c r="A32" s="32" t="s">
        <v>31</v>
      </c>
      <c r="B32" s="32" t="s">
        <v>48</v>
      </c>
      <c r="C32" s="108" t="str">
        <f>IFERROR(INDEX(lifespans_all!C$2:C$56,MATCH($A32,lifespans_all!$A$2:$A$56,0))*INDEX(SR_mission_minutes!C$2:C$43,MATCH($A32,SR_mission_minutes!$A$2:$A$43)),"-")</f>
        <v>-</v>
      </c>
      <c r="D32" s="108" t="str">
        <f>IFERROR(INDEX(lifespans_all!D$2:D$56,MATCH($A32,lifespans_all!$A$2:$A$56,0))*INDEX(SR_mission_minutes!D$2:D$43,MATCH($A32,SR_mission_minutes!$A$2:$A$43)),"-")</f>
        <v>-</v>
      </c>
      <c r="E32" s="108" t="str">
        <f>IFERROR(INDEX(lifespans_all!E$2:E$56,MATCH($A32,lifespans_all!$A$2:$A$56,0))*INDEX(SR_mission_minutes!E$2:E$43,MATCH($A32,SR_mission_minutes!$A$2:$A$43)),"-")</f>
        <v>-</v>
      </c>
      <c r="F32" s="108" t="str">
        <f>IFERROR(INDEX(lifespans_all!F$2:F$56,MATCH($A32,lifespans_all!$A$2:$A$56,0))*INDEX(SR_mission_minutes!F$2:F$43,MATCH($A32,SR_mission_minutes!$A$2:$A$43)),"-")</f>
        <v>-</v>
      </c>
      <c r="G32" s="108" t="str">
        <f>IFERROR(INDEX(lifespans_all!G$2:G$56,MATCH($A32,lifespans_all!$A$2:$A$56,0))*INDEX(SR_mission_minutes!G$2:G$43,MATCH($A32,SR_mission_minutes!$A$2:$A$43)),"-")</f>
        <v>-</v>
      </c>
      <c r="H32" s="108" t="str">
        <f>IFERROR(INDEX(lifespans_all!H$2:H$56,MATCH($A32,lifespans_all!$A$2:$A$56,0))*INDEX(SR_mission_minutes!H$2:H$43,MATCH($A32,SR_mission_minutes!$A$2:$A$43)),"-")</f>
        <v>-</v>
      </c>
      <c r="I32" s="108" t="str">
        <f>IFERROR(INDEX(lifespans_all!I$2:I$56,MATCH($A32,lifespans_all!$A$2:$A$56,0))*INDEX(SR_mission_minutes!I$2:I$43,MATCH($A32,SR_mission_minutes!$A$2:$A$43)),"-")</f>
        <v>-</v>
      </c>
      <c r="J32" s="108" t="str">
        <f>IFERROR(INDEX(lifespans_all!J$2:J$56,MATCH($A32,lifespans_all!$A$2:$A$56,0))*INDEX(SR_mission_minutes!J$2:J$43,MATCH($A32,SR_mission_minutes!$A$2:$A$43)),"-")</f>
        <v>-</v>
      </c>
      <c r="K32" s="108" t="str">
        <f>IFERROR(INDEX(lifespans_all!K$2:K$56,MATCH($A32,lifespans_all!$A$2:$A$56,0))*INDEX(SR_mission_minutes!K$2:K$43,MATCH($A32,SR_mission_minutes!$A$2:$A$43)),"-")</f>
        <v>-</v>
      </c>
      <c r="L32" s="108" t="str">
        <f>IFERROR(INDEX(lifespans_all!L$2:L$56,MATCH($A32,lifespans_all!$A$2:$A$56,0))*INDEX(SR_mission_minutes!L$2:L$43,MATCH($A32,SR_mission_minutes!$A$2:$A$43)),"-")</f>
        <v>-</v>
      </c>
      <c r="M32" s="108" t="str">
        <f>IFERROR(INDEX(lifespans_all!M$2:M$56,MATCH($A32,lifespans_all!$A$2:$A$56,0))*INDEX(SR_mission_minutes!M$2:M$43,MATCH($A32,SR_mission_minutes!$A$2:$A$43)),"-")</f>
        <v>-</v>
      </c>
      <c r="N32" s="108" t="str">
        <f>IFERROR(INDEX(lifespans_all!N$2:N$56,MATCH($A32,lifespans_all!$A$2:$A$56,0))*INDEX(SR_mission_minutes!N$2:N$43,MATCH($A32,SR_mission_minutes!$A$2:$A$43)),"-")</f>
        <v>-</v>
      </c>
      <c r="O32" s="108" t="str">
        <f>IFERROR(INDEX(lifespans_all!O$2:O$56,MATCH($A32,lifespans_all!$A$2:$A$56,0))*INDEX(SR_mission_minutes!O$2:O$43,MATCH($A32,SR_mission_minutes!$A$2:$A$43)),"-")</f>
        <v>-</v>
      </c>
      <c r="P32" s="108" t="str">
        <f>IFERROR(INDEX(lifespans_all!P$2:P$56,MATCH($A32,lifespans_all!$A$2:$A$56,0))*INDEX(SR_mission_minutes!P$2:P$43,MATCH($A32,SR_mission_minutes!$A$2:$A$43)),"-")</f>
        <v>-</v>
      </c>
      <c r="Q32" s="108" t="str">
        <f>IFERROR(INDEX(lifespans_all!Q$2:Q$56,MATCH($A32,lifespans_all!$A$2:$A$56,0))*INDEX(SR_mission_minutes!Q$2:Q$43,MATCH($A32,SR_mission_minutes!$A$2:$A$43)),"-")</f>
        <v>-</v>
      </c>
      <c r="R32" s="108" t="str">
        <f>IFERROR(INDEX(lifespans_all!R$2:R$56,MATCH($A32,lifespans_all!$A$2:$A$56,0))*INDEX(SR_mission_minutes!R$2:R$43,MATCH($A32,SR_mission_minutes!$A$2:$A$43)),"-")</f>
        <v>-</v>
      </c>
      <c r="S32" s="108" t="str">
        <f>IFERROR(INDEX(lifespans_all!S$2:S$56,MATCH($A32,lifespans_all!$A$2:$A$56,0))*INDEX(SR_mission_minutes!S$2:S$43,MATCH($A32,SR_mission_minutes!$A$2:$A$43)),"-")</f>
        <v>-</v>
      </c>
      <c r="T32" s="108" t="str">
        <f>IFERROR(INDEX(lifespans_all!T$2:T$56,MATCH($A32,lifespans_all!$A$2:$A$56,0))*INDEX(SR_mission_minutes!T$2:T$43,MATCH($A32,SR_mission_minutes!$A$2:$A$43)),"-")</f>
        <v>-</v>
      </c>
      <c r="U32" s="108" t="str">
        <f>IFERROR(INDEX(lifespans_all!U$2:U$56,MATCH($A32,lifespans_all!$A$2:$A$56,0))*INDEX(SR_mission_minutes!U$2:U$43,MATCH($A32,SR_mission_minutes!$A$2:$A$43)),"-")</f>
        <v>-</v>
      </c>
      <c r="V32" s="108" t="str">
        <f>IFERROR(INDEX(lifespans_all!V$2:V$56,MATCH($A32,lifespans_all!$A$2:$A$56,0))*INDEX(SR_mission_minutes!V$2:V$43,MATCH($A32,SR_mission_minutes!$A$2:$A$43)),"-")</f>
        <v>-</v>
      </c>
    </row>
    <row r="33" spans="1:22" x14ac:dyDescent="0.25">
      <c r="A33" s="32" t="s">
        <v>32</v>
      </c>
      <c r="B33" s="32" t="s">
        <v>48</v>
      </c>
      <c r="C33" s="108" t="str">
        <f>IFERROR(INDEX(lifespans_all!C$2:C$56,MATCH($A33,lifespans_all!$A$2:$A$56,0))*INDEX(SR_mission_minutes!C$2:C$43,MATCH($A33,SR_mission_minutes!$A$2:$A$43)),"-")</f>
        <v>-</v>
      </c>
      <c r="D33" s="108" t="str">
        <f>IFERROR(INDEX(lifespans_all!D$2:D$56,MATCH($A33,lifespans_all!$A$2:$A$56,0))*INDEX(SR_mission_minutes!D$2:D$43,MATCH($A33,SR_mission_minutes!$A$2:$A$43)),"-")</f>
        <v>-</v>
      </c>
      <c r="E33" s="108" t="str">
        <f>IFERROR(INDEX(lifespans_all!E$2:E$56,MATCH($A33,lifespans_all!$A$2:$A$56,0))*INDEX(SR_mission_minutes!E$2:E$43,MATCH($A33,SR_mission_minutes!$A$2:$A$43)),"-")</f>
        <v>-</v>
      </c>
      <c r="F33" s="108" t="str">
        <f>IFERROR(INDEX(lifespans_all!F$2:F$56,MATCH($A33,lifespans_all!$A$2:$A$56,0))*INDEX(SR_mission_minutes!F$2:F$43,MATCH($A33,SR_mission_minutes!$A$2:$A$43)),"-")</f>
        <v>-</v>
      </c>
      <c r="G33" s="108" t="str">
        <f>IFERROR(INDEX(lifespans_all!G$2:G$56,MATCH($A33,lifespans_all!$A$2:$A$56,0))*INDEX(SR_mission_minutes!G$2:G$43,MATCH($A33,SR_mission_minutes!$A$2:$A$43)),"-")</f>
        <v>-</v>
      </c>
      <c r="H33" s="108" t="str">
        <f>IFERROR(INDEX(lifespans_all!H$2:H$56,MATCH($A33,lifespans_all!$A$2:$A$56,0))*INDEX(SR_mission_minutes!H$2:H$43,MATCH($A33,SR_mission_minutes!$A$2:$A$43)),"-")</f>
        <v>-</v>
      </c>
      <c r="I33" s="108" t="str">
        <f>IFERROR(INDEX(lifespans_all!I$2:I$56,MATCH($A33,lifespans_all!$A$2:$A$56,0))*INDEX(SR_mission_minutes!I$2:I$43,MATCH($A33,SR_mission_minutes!$A$2:$A$43)),"-")</f>
        <v>-</v>
      </c>
      <c r="J33" s="108" t="str">
        <f>IFERROR(INDEX(lifespans_all!J$2:J$56,MATCH($A33,lifespans_all!$A$2:$A$56,0))*INDEX(SR_mission_minutes!J$2:J$43,MATCH($A33,SR_mission_minutes!$A$2:$A$43)),"-")</f>
        <v>-</v>
      </c>
      <c r="K33" s="108" t="str">
        <f>IFERROR(INDEX(lifespans_all!K$2:K$56,MATCH($A33,lifespans_all!$A$2:$A$56,0))*INDEX(SR_mission_minutes!K$2:K$43,MATCH($A33,SR_mission_minutes!$A$2:$A$43)),"-")</f>
        <v>-</v>
      </c>
      <c r="L33" s="108" t="str">
        <f>IFERROR(INDEX(lifespans_all!L$2:L$56,MATCH($A33,lifespans_all!$A$2:$A$56,0))*INDEX(SR_mission_minutes!L$2:L$43,MATCH($A33,SR_mission_minutes!$A$2:$A$43)),"-")</f>
        <v>-</v>
      </c>
      <c r="M33" s="108" t="str">
        <f>IFERROR(INDEX(lifespans_all!M$2:M$56,MATCH($A33,lifespans_all!$A$2:$A$56,0))*INDEX(SR_mission_minutes!M$2:M$43,MATCH($A33,SR_mission_minutes!$A$2:$A$43)),"-")</f>
        <v>-</v>
      </c>
      <c r="N33" s="108" t="str">
        <f>IFERROR(INDEX(lifespans_all!N$2:N$56,MATCH($A33,lifespans_all!$A$2:$A$56,0))*INDEX(SR_mission_minutes!N$2:N$43,MATCH($A33,SR_mission_minutes!$A$2:$A$43)),"-")</f>
        <v>-</v>
      </c>
      <c r="O33" s="108" t="str">
        <f>IFERROR(INDEX(lifespans_all!O$2:O$56,MATCH($A33,lifespans_all!$A$2:$A$56,0))*INDEX(SR_mission_minutes!O$2:O$43,MATCH($A33,SR_mission_minutes!$A$2:$A$43)),"-")</f>
        <v>-</v>
      </c>
      <c r="P33" s="108" t="str">
        <f>IFERROR(INDEX(lifespans_all!P$2:P$56,MATCH($A33,lifespans_all!$A$2:$A$56,0))*INDEX(SR_mission_minutes!P$2:P$43,MATCH($A33,SR_mission_minutes!$A$2:$A$43)),"-")</f>
        <v>-</v>
      </c>
      <c r="Q33" s="108" t="str">
        <f>IFERROR(INDEX(lifespans_all!Q$2:Q$56,MATCH($A33,lifespans_all!$A$2:$A$56,0))*INDEX(SR_mission_minutes!Q$2:Q$43,MATCH($A33,SR_mission_minutes!$A$2:$A$43)),"-")</f>
        <v>-</v>
      </c>
      <c r="R33" s="108" t="str">
        <f>IFERROR(INDEX(lifespans_all!R$2:R$56,MATCH($A33,lifespans_all!$A$2:$A$56,0))*INDEX(SR_mission_minutes!R$2:R$43,MATCH($A33,SR_mission_minutes!$A$2:$A$43)),"-")</f>
        <v>-</v>
      </c>
      <c r="S33" s="108" t="str">
        <f>IFERROR(INDEX(lifespans_all!S$2:S$56,MATCH($A33,lifespans_all!$A$2:$A$56,0))*INDEX(SR_mission_minutes!S$2:S$43,MATCH($A33,SR_mission_minutes!$A$2:$A$43)),"-")</f>
        <v>-</v>
      </c>
      <c r="T33" s="108" t="str">
        <f>IFERROR(INDEX(lifespans_all!T$2:T$56,MATCH($A33,lifespans_all!$A$2:$A$56,0))*INDEX(SR_mission_minutes!T$2:T$43,MATCH($A33,SR_mission_minutes!$A$2:$A$43)),"-")</f>
        <v>-</v>
      </c>
      <c r="U33" s="108" t="str">
        <f>IFERROR(INDEX(lifespans_all!U$2:U$56,MATCH($A33,lifespans_all!$A$2:$A$56,0))*INDEX(SR_mission_minutes!U$2:U$43,MATCH($A33,SR_mission_minutes!$A$2:$A$43)),"-")</f>
        <v>-</v>
      </c>
      <c r="V33" s="108" t="str">
        <f>IFERROR(INDEX(lifespans_all!V$2:V$56,MATCH($A33,lifespans_all!$A$2:$A$56,0))*INDEX(SR_mission_minutes!V$2:V$43,MATCH($A33,SR_mission_minutes!$A$2:$A$43)),"-")</f>
        <v>-</v>
      </c>
    </row>
    <row r="34" spans="1:22" x14ac:dyDescent="0.25">
      <c r="A34" s="32" t="s">
        <v>33</v>
      </c>
      <c r="B34" s="32" t="s">
        <v>41</v>
      </c>
      <c r="C34" s="108">
        <f>IFERROR(INDEX(lifespans_all!C$2:C$56,MATCH($A34,lifespans_all!$A$2:$A$56,0))*INDEX(SR_mission_minutes!C$2:C$43,MATCH($A34,SR_mission_minutes!$A$2:$A$43)),"-")</f>
        <v>0</v>
      </c>
      <c r="D34" s="108">
        <f>IFERROR(INDEX(lifespans_all!D$2:D$56,MATCH($A34,lifespans_all!$A$2:$A$56,0))*INDEX(SR_mission_minutes!D$2:D$43,MATCH($A34,SR_mission_minutes!$A$2:$A$43)),"-")</f>
        <v>0</v>
      </c>
      <c r="E34" s="108">
        <f>IFERROR(INDEX(lifespans_all!E$2:E$56,MATCH($A34,lifespans_all!$A$2:$A$56,0))*INDEX(SR_mission_minutes!E$2:E$43,MATCH($A34,SR_mission_minutes!$A$2:$A$43)),"-")</f>
        <v>0</v>
      </c>
      <c r="F34" s="108">
        <f>IFERROR(INDEX(lifespans_all!F$2:F$56,MATCH($A34,lifespans_all!$A$2:$A$56,0))*INDEX(SR_mission_minutes!F$2:F$43,MATCH($A34,SR_mission_minutes!$A$2:$A$43)),"-")</f>
        <v>0</v>
      </c>
      <c r="G34" s="108">
        <f>IFERROR(INDEX(lifespans_all!G$2:G$56,MATCH($A34,lifespans_all!$A$2:$A$56,0))*INDEX(SR_mission_minutes!G$2:G$43,MATCH($A34,SR_mission_minutes!$A$2:$A$43)),"-")</f>
        <v>0</v>
      </c>
      <c r="H34" s="108">
        <f>IFERROR(INDEX(lifespans_all!H$2:H$56,MATCH($A34,lifespans_all!$A$2:$A$56,0))*INDEX(SR_mission_minutes!H$2:H$43,MATCH($A34,SR_mission_minutes!$A$2:$A$43)),"-")</f>
        <v>0</v>
      </c>
      <c r="I34" s="108">
        <f>IFERROR(INDEX(lifespans_all!I$2:I$56,MATCH($A34,lifespans_all!$A$2:$A$56,0))*INDEX(SR_mission_minutes!I$2:I$43,MATCH($A34,SR_mission_minutes!$A$2:$A$43)),"-")</f>
        <v>0</v>
      </c>
      <c r="J34" s="108">
        <f>IFERROR(INDEX(lifespans_all!J$2:J$56,MATCH($A34,lifespans_all!$A$2:$A$56,0))*INDEX(SR_mission_minutes!J$2:J$43,MATCH($A34,SR_mission_minutes!$A$2:$A$43)),"-")</f>
        <v>0</v>
      </c>
      <c r="K34" s="108">
        <f>IFERROR(INDEX(lifespans_all!K$2:K$56,MATCH($A34,lifespans_all!$A$2:$A$56,0))*INDEX(SR_mission_minutes!K$2:K$43,MATCH($A34,SR_mission_minutes!$A$2:$A$43)),"-")</f>
        <v>0</v>
      </c>
      <c r="L34" s="108">
        <f>IFERROR(INDEX(lifespans_all!L$2:L$56,MATCH($A34,lifespans_all!$A$2:$A$56,0))*INDEX(SR_mission_minutes!L$2:L$43,MATCH($A34,SR_mission_minutes!$A$2:$A$43)),"-")</f>
        <v>0</v>
      </c>
      <c r="M34" s="108">
        <f>IFERROR(INDEX(lifespans_all!M$2:M$56,MATCH($A34,lifespans_all!$A$2:$A$56,0))*INDEX(SR_mission_minutes!M$2:M$43,MATCH($A34,SR_mission_minutes!$A$2:$A$43)),"-")</f>
        <v>0</v>
      </c>
      <c r="N34" s="108">
        <f>IFERROR(INDEX(lifespans_all!N$2:N$56,MATCH($A34,lifespans_all!$A$2:$A$56,0))*INDEX(SR_mission_minutes!N$2:N$43,MATCH($A34,SR_mission_minutes!$A$2:$A$43)),"-")</f>
        <v>0</v>
      </c>
      <c r="O34" s="108">
        <f>IFERROR(INDEX(lifespans_all!O$2:O$56,MATCH($A34,lifespans_all!$A$2:$A$56,0))*INDEX(SR_mission_minutes!O$2:O$43,MATCH($A34,SR_mission_minutes!$A$2:$A$43)),"-")</f>
        <v>0</v>
      </c>
      <c r="P34" s="108">
        <f>IFERROR(INDEX(lifespans_all!P$2:P$56,MATCH($A34,lifespans_all!$A$2:$A$56,0))*INDEX(SR_mission_minutes!P$2:P$43,MATCH($A34,SR_mission_minutes!$A$2:$A$43)),"-")</f>
        <v>0</v>
      </c>
      <c r="Q34" s="108">
        <f>IFERROR(INDEX(lifespans_all!Q$2:Q$56,MATCH($A34,lifespans_all!$A$2:$A$56,0))*INDEX(SR_mission_minutes!Q$2:Q$43,MATCH($A34,SR_mission_minutes!$A$2:$A$43)),"-")</f>
        <v>0</v>
      </c>
      <c r="R34" s="108">
        <f>IFERROR(INDEX(lifespans_all!R$2:R$56,MATCH($A34,lifespans_all!$A$2:$A$56,0))*INDEX(SR_mission_minutes!R$2:R$43,MATCH($A34,SR_mission_minutes!$A$2:$A$43)),"-")</f>
        <v>0</v>
      </c>
      <c r="S34" s="108">
        <f>IFERROR(INDEX(lifespans_all!S$2:S$56,MATCH($A34,lifespans_all!$A$2:$A$56,0))*INDEX(SR_mission_minutes!S$2:S$43,MATCH($A34,SR_mission_minutes!$A$2:$A$43)),"-")</f>
        <v>0</v>
      </c>
      <c r="T34" s="108">
        <f>IFERROR(INDEX(lifespans_all!T$2:T$56,MATCH($A34,lifespans_all!$A$2:$A$56,0))*INDEX(SR_mission_minutes!T$2:T$43,MATCH($A34,SR_mission_minutes!$A$2:$A$43)),"-")</f>
        <v>0</v>
      </c>
      <c r="U34" s="108">
        <f>IFERROR(INDEX(lifespans_all!U$2:U$56,MATCH($A34,lifespans_all!$A$2:$A$56,0))*INDEX(SR_mission_minutes!U$2:U$43,MATCH($A34,SR_mission_minutes!$A$2:$A$43)),"-")</f>
        <v>0</v>
      </c>
      <c r="V34" s="108">
        <f>IFERROR(INDEX(lifespans_all!V$2:V$56,MATCH($A34,lifespans_all!$A$2:$A$56,0))*INDEX(SR_mission_minutes!V$2:V$43,MATCH($A34,SR_mission_minutes!$A$2:$A$43)),"-")</f>
        <v>0</v>
      </c>
    </row>
    <row r="35" spans="1:22" x14ac:dyDescent="0.25">
      <c r="A35" s="32" t="s">
        <v>34</v>
      </c>
      <c r="B35" s="32" t="s">
        <v>45</v>
      </c>
      <c r="C35" s="108">
        <f>IFERROR(INDEX(lifespans_all!C$2:C$56,MATCH($A35,lifespans_all!$A$2:$A$56,0))*INDEX(SR_mission_minutes!C$2:C$43,MATCH($A35,SR_mission_minutes!$A$2:$A$43)),"-")</f>
        <v>33739.333333333336</v>
      </c>
      <c r="D35" s="108">
        <f>IFERROR(INDEX(lifespans_all!D$2:D$56,MATCH($A35,lifespans_all!$A$2:$A$56,0))*INDEX(SR_mission_minutes!D$2:D$43,MATCH($A35,SR_mission_minutes!$A$2:$A$43)),"-")</f>
        <v>33739.333333333336</v>
      </c>
      <c r="E35" s="108">
        <f>IFERROR(INDEX(lifespans_all!E$2:E$56,MATCH($A35,lifespans_all!$A$2:$A$56,0))*INDEX(SR_mission_minutes!E$2:E$43,MATCH($A35,SR_mission_minutes!$A$2:$A$43)),"-")</f>
        <v>33739.333333333336</v>
      </c>
      <c r="F35" s="108">
        <f>IFERROR(INDEX(lifespans_all!F$2:F$56,MATCH($A35,lifespans_all!$A$2:$A$56,0))*INDEX(SR_mission_minutes!F$2:F$43,MATCH($A35,SR_mission_minutes!$A$2:$A$43)),"-")</f>
        <v>33739.333333333336</v>
      </c>
      <c r="G35" s="108">
        <f>IFERROR(INDEX(lifespans_all!G$2:G$56,MATCH($A35,lifespans_all!$A$2:$A$56,0))*INDEX(SR_mission_minutes!G$2:G$43,MATCH($A35,SR_mission_minutes!$A$2:$A$43)),"-")</f>
        <v>33739.333333333336</v>
      </c>
      <c r="H35" s="108">
        <f>IFERROR(INDEX(lifespans_all!H$2:H$56,MATCH($A35,lifespans_all!$A$2:$A$56,0))*INDEX(SR_mission_minutes!H$2:H$43,MATCH($A35,SR_mission_minutes!$A$2:$A$43)),"-")</f>
        <v>0</v>
      </c>
      <c r="I35" s="108">
        <f>IFERROR(INDEX(lifespans_all!I$2:I$56,MATCH($A35,lifespans_all!$A$2:$A$56,0))*INDEX(SR_mission_minutes!I$2:I$43,MATCH($A35,SR_mission_minutes!$A$2:$A$43)),"-")</f>
        <v>0</v>
      </c>
      <c r="J35" s="108">
        <f>IFERROR(INDEX(lifespans_all!J$2:J$56,MATCH($A35,lifespans_all!$A$2:$A$56,0))*INDEX(SR_mission_minutes!J$2:J$43,MATCH($A35,SR_mission_minutes!$A$2:$A$43)),"-")</f>
        <v>0</v>
      </c>
      <c r="K35" s="108">
        <f>IFERROR(INDEX(lifespans_all!K$2:K$56,MATCH($A35,lifespans_all!$A$2:$A$56,0))*INDEX(SR_mission_minutes!K$2:K$43,MATCH($A35,SR_mission_minutes!$A$2:$A$43)),"-")</f>
        <v>0</v>
      </c>
      <c r="L35" s="108">
        <f>IFERROR(INDEX(lifespans_all!L$2:L$56,MATCH($A35,lifespans_all!$A$2:$A$56,0))*INDEX(SR_mission_minutes!L$2:L$43,MATCH($A35,SR_mission_minutes!$A$2:$A$43)),"-")</f>
        <v>0</v>
      </c>
      <c r="M35" s="108">
        <f>IFERROR(INDEX(lifespans_all!M$2:M$56,MATCH($A35,lifespans_all!$A$2:$A$56,0))*INDEX(SR_mission_minutes!M$2:M$43,MATCH($A35,SR_mission_minutes!$A$2:$A$43)),"-")</f>
        <v>0</v>
      </c>
      <c r="N35" s="108">
        <f>IFERROR(INDEX(lifespans_all!N$2:N$56,MATCH($A35,lifespans_all!$A$2:$A$56,0))*INDEX(SR_mission_minutes!N$2:N$43,MATCH($A35,SR_mission_minutes!$A$2:$A$43)),"-")</f>
        <v>0</v>
      </c>
      <c r="O35" s="108">
        <f>IFERROR(INDEX(lifespans_all!O$2:O$56,MATCH($A35,lifespans_all!$A$2:$A$56,0))*INDEX(SR_mission_minutes!O$2:O$43,MATCH($A35,SR_mission_minutes!$A$2:$A$43)),"-")</f>
        <v>0</v>
      </c>
      <c r="P35" s="108">
        <f>IFERROR(INDEX(lifespans_all!P$2:P$56,MATCH($A35,lifespans_all!$A$2:$A$56,0))*INDEX(SR_mission_minutes!P$2:P$43,MATCH($A35,SR_mission_minutes!$A$2:$A$43)),"-")</f>
        <v>0</v>
      </c>
      <c r="Q35" s="108">
        <f>IFERROR(INDEX(lifespans_all!Q$2:Q$56,MATCH($A35,lifespans_all!$A$2:$A$56,0))*INDEX(SR_mission_minutes!Q$2:Q$43,MATCH($A35,SR_mission_minutes!$A$2:$A$43)),"-")</f>
        <v>0</v>
      </c>
      <c r="R35" s="108">
        <f>IFERROR(INDEX(lifespans_all!R$2:R$56,MATCH($A35,lifespans_all!$A$2:$A$56,0))*INDEX(SR_mission_minutes!R$2:R$43,MATCH($A35,SR_mission_minutes!$A$2:$A$43)),"-")</f>
        <v>0</v>
      </c>
      <c r="S35" s="108">
        <f>IFERROR(INDEX(lifespans_all!S$2:S$56,MATCH($A35,lifespans_all!$A$2:$A$56,0))*INDEX(SR_mission_minutes!S$2:S$43,MATCH($A35,SR_mission_minutes!$A$2:$A$43)),"-")</f>
        <v>0</v>
      </c>
      <c r="T35" s="108">
        <f>IFERROR(INDEX(lifespans_all!T$2:T$56,MATCH($A35,lifespans_all!$A$2:$A$56,0))*INDEX(SR_mission_minutes!T$2:T$43,MATCH($A35,SR_mission_minutes!$A$2:$A$43)),"-")</f>
        <v>0</v>
      </c>
      <c r="U35" s="108">
        <f>IFERROR(INDEX(lifespans_all!U$2:U$56,MATCH($A35,lifespans_all!$A$2:$A$56,0))*INDEX(SR_mission_minutes!U$2:U$43,MATCH($A35,SR_mission_minutes!$A$2:$A$43)),"-")</f>
        <v>0</v>
      </c>
      <c r="V35" s="108">
        <f>IFERROR(INDEX(lifespans_all!V$2:V$56,MATCH($A35,lifespans_all!$A$2:$A$56,0))*INDEX(SR_mission_minutes!V$2:V$43,MATCH($A35,SR_mission_minutes!$A$2:$A$43)),"-")</f>
        <v>0</v>
      </c>
    </row>
    <row r="36" spans="1:22" x14ac:dyDescent="0.25">
      <c r="A36" s="32" t="s">
        <v>63</v>
      </c>
      <c r="B36" s="32" t="s">
        <v>43</v>
      </c>
      <c r="C36" s="108">
        <f>IFERROR(INDEX(lifespans_all!C$2:C$56,MATCH($A36,lifespans_all!$A$2:$A$56,0))*INDEX(SR_mission_minutes!C$2:C$43,MATCH($A36,SR_mission_minutes!$A$2:$A$43)),"-")</f>
        <v>114879</v>
      </c>
      <c r="D36" s="108">
        <f>IFERROR(INDEX(lifespans_all!D$2:D$56,MATCH($A36,lifespans_all!$A$2:$A$56,0))*INDEX(SR_mission_minutes!D$2:D$43,MATCH($A36,SR_mission_minutes!$A$2:$A$43)),"-")</f>
        <v>114879</v>
      </c>
      <c r="E36" s="108">
        <f>IFERROR(INDEX(lifespans_all!E$2:E$56,MATCH($A36,lifespans_all!$A$2:$A$56,0))*INDEX(SR_mission_minutes!E$2:E$43,MATCH($A36,SR_mission_minutes!$A$2:$A$43)),"-")</f>
        <v>114879</v>
      </c>
      <c r="F36" s="108">
        <f>IFERROR(INDEX(lifespans_all!F$2:F$56,MATCH($A36,lifespans_all!$A$2:$A$56,0))*INDEX(SR_mission_minutes!F$2:F$43,MATCH($A36,SR_mission_minutes!$A$2:$A$43)),"-")</f>
        <v>114879</v>
      </c>
      <c r="G36" s="108">
        <f>IFERROR(INDEX(lifespans_all!G$2:G$56,MATCH($A36,lifespans_all!$A$2:$A$56,0))*INDEX(SR_mission_minutes!G$2:G$43,MATCH($A36,SR_mission_minutes!$A$2:$A$43)),"-")</f>
        <v>114879</v>
      </c>
      <c r="H36" s="108">
        <f>IFERROR(INDEX(lifespans_all!H$2:H$56,MATCH($A36,lifespans_all!$A$2:$A$56,0))*INDEX(SR_mission_minutes!H$2:H$43,MATCH($A36,SR_mission_minutes!$A$2:$A$43)),"-")</f>
        <v>114879</v>
      </c>
      <c r="I36" s="108">
        <f>IFERROR(INDEX(lifespans_all!I$2:I$56,MATCH($A36,lifespans_all!$A$2:$A$56,0))*INDEX(SR_mission_minutes!I$2:I$43,MATCH($A36,SR_mission_minutes!$A$2:$A$43)),"-")</f>
        <v>114879</v>
      </c>
      <c r="J36" s="108">
        <f>IFERROR(INDEX(lifespans_all!J$2:J$56,MATCH($A36,lifespans_all!$A$2:$A$56,0))*INDEX(SR_mission_minutes!J$2:J$43,MATCH($A36,SR_mission_minutes!$A$2:$A$43)),"-")</f>
        <v>114879</v>
      </c>
      <c r="K36" s="108">
        <f>IFERROR(INDEX(lifespans_all!K$2:K$56,MATCH($A36,lifespans_all!$A$2:$A$56,0))*INDEX(SR_mission_minutes!K$2:K$43,MATCH($A36,SR_mission_minutes!$A$2:$A$43)),"-")</f>
        <v>114879</v>
      </c>
      <c r="L36" s="108">
        <f>IFERROR(INDEX(lifespans_all!L$2:L$56,MATCH($A36,lifespans_all!$A$2:$A$56,0))*INDEX(SR_mission_minutes!L$2:L$43,MATCH($A36,SR_mission_minutes!$A$2:$A$43)),"-")</f>
        <v>114879</v>
      </c>
      <c r="M36" s="108">
        <f>IFERROR(INDEX(lifespans_all!M$2:M$56,MATCH($A36,lifespans_all!$A$2:$A$56,0))*INDEX(SR_mission_minutes!M$2:M$43,MATCH($A36,SR_mission_minutes!$A$2:$A$43)),"-")</f>
        <v>114879</v>
      </c>
      <c r="N36" s="108">
        <f>IFERROR(INDEX(lifespans_all!N$2:N$56,MATCH($A36,lifespans_all!$A$2:$A$56,0))*INDEX(SR_mission_minutes!N$2:N$43,MATCH($A36,SR_mission_minutes!$A$2:$A$43)),"-")</f>
        <v>114879</v>
      </c>
      <c r="O36" s="108">
        <f>IFERROR(INDEX(lifespans_all!O$2:O$56,MATCH($A36,lifespans_all!$A$2:$A$56,0))*INDEX(SR_mission_minutes!O$2:O$43,MATCH($A36,SR_mission_minutes!$A$2:$A$43)),"-")</f>
        <v>114879</v>
      </c>
      <c r="P36" s="108">
        <f>IFERROR(INDEX(lifespans_all!P$2:P$56,MATCH($A36,lifespans_all!$A$2:$A$56,0))*INDEX(SR_mission_minutes!P$2:P$43,MATCH($A36,SR_mission_minutes!$A$2:$A$43)),"-")</f>
        <v>114879</v>
      </c>
      <c r="Q36" s="108">
        <f>IFERROR(INDEX(lifespans_all!Q$2:Q$56,MATCH($A36,lifespans_all!$A$2:$A$56,0))*INDEX(SR_mission_minutes!Q$2:Q$43,MATCH($A36,SR_mission_minutes!$A$2:$A$43)),"-")</f>
        <v>114879</v>
      </c>
      <c r="R36" s="108">
        <f>IFERROR(INDEX(lifespans_all!R$2:R$56,MATCH($A36,lifespans_all!$A$2:$A$56,0))*INDEX(SR_mission_minutes!R$2:R$43,MATCH($A36,SR_mission_minutes!$A$2:$A$43)),"-")</f>
        <v>114879</v>
      </c>
      <c r="S36" s="108">
        <f>IFERROR(INDEX(lifespans_all!S$2:S$56,MATCH($A36,lifespans_all!$A$2:$A$56,0))*INDEX(SR_mission_minutes!S$2:S$43,MATCH($A36,SR_mission_minutes!$A$2:$A$43)),"-")</f>
        <v>114879</v>
      </c>
      <c r="T36" s="108">
        <f>IFERROR(INDEX(lifespans_all!T$2:T$56,MATCH($A36,lifespans_all!$A$2:$A$56,0))*INDEX(SR_mission_minutes!T$2:T$43,MATCH($A36,SR_mission_minutes!$A$2:$A$43)),"-")</f>
        <v>114879</v>
      </c>
      <c r="U36" s="108">
        <f>IFERROR(INDEX(lifespans_all!U$2:U$56,MATCH($A36,lifespans_all!$A$2:$A$56,0))*INDEX(SR_mission_minutes!U$2:U$43,MATCH($A36,SR_mission_minutes!$A$2:$A$43)),"-")</f>
        <v>114879</v>
      </c>
      <c r="V36" s="108">
        <f>IFERROR(INDEX(lifespans_all!V$2:V$56,MATCH($A36,lifespans_all!$A$2:$A$56,0))*INDEX(SR_mission_minutes!V$2:V$43,MATCH($A36,SR_mission_minutes!$A$2:$A$43)),"-")</f>
        <v>114879</v>
      </c>
    </row>
    <row r="37" spans="1:22" x14ac:dyDescent="0.25">
      <c r="A37" s="32" t="s">
        <v>64</v>
      </c>
      <c r="B37" s="32" t="s">
        <v>46</v>
      </c>
      <c r="C37" s="108" t="str">
        <f>IFERROR(INDEX(lifespans_all!C$2:C$56,MATCH($A37,lifespans_all!$A$2:$A$56,0))*INDEX(SR_mission_minutes!C$2:C$43,MATCH($A37,SR_mission_minutes!$A$2:$A$43)),"-")</f>
        <v>-</v>
      </c>
      <c r="D37" s="108" t="str">
        <f>IFERROR(INDEX(lifespans_all!D$2:D$56,MATCH($A37,lifespans_all!$A$2:$A$56,0))*INDEX(SR_mission_minutes!D$2:D$43,MATCH($A37,SR_mission_minutes!$A$2:$A$43)),"-")</f>
        <v>-</v>
      </c>
      <c r="E37" s="108" t="str">
        <f>IFERROR(INDEX(lifespans_all!E$2:E$56,MATCH($A37,lifespans_all!$A$2:$A$56,0))*INDEX(SR_mission_minutes!E$2:E$43,MATCH($A37,SR_mission_minutes!$A$2:$A$43)),"-")</f>
        <v>-</v>
      </c>
      <c r="F37" s="108" t="str">
        <f>IFERROR(INDEX(lifespans_all!F$2:F$56,MATCH($A37,lifespans_all!$A$2:$A$56,0))*INDEX(SR_mission_minutes!F$2:F$43,MATCH($A37,SR_mission_minutes!$A$2:$A$43)),"-")</f>
        <v>-</v>
      </c>
      <c r="G37" s="108" t="str">
        <f>IFERROR(INDEX(lifespans_all!G$2:G$56,MATCH($A37,lifespans_all!$A$2:$A$56,0))*INDEX(SR_mission_minutes!G$2:G$43,MATCH($A37,SR_mission_minutes!$A$2:$A$43)),"-")</f>
        <v>-</v>
      </c>
      <c r="H37" s="108" t="str">
        <f>IFERROR(INDEX(lifespans_all!H$2:H$56,MATCH($A37,lifespans_all!$A$2:$A$56,0))*INDEX(SR_mission_minutes!H$2:H$43,MATCH($A37,SR_mission_minutes!$A$2:$A$43)),"-")</f>
        <v>-</v>
      </c>
      <c r="I37" s="108" t="str">
        <f>IFERROR(INDEX(lifespans_all!I$2:I$56,MATCH($A37,lifespans_all!$A$2:$A$56,0))*INDEX(SR_mission_minutes!I$2:I$43,MATCH($A37,SR_mission_minutes!$A$2:$A$43)),"-")</f>
        <v>-</v>
      </c>
      <c r="J37" s="108" t="str">
        <f>IFERROR(INDEX(lifespans_all!J$2:J$56,MATCH($A37,lifespans_all!$A$2:$A$56,0))*INDEX(SR_mission_minutes!J$2:J$43,MATCH($A37,SR_mission_minutes!$A$2:$A$43)),"-")</f>
        <v>-</v>
      </c>
      <c r="K37" s="108" t="str">
        <f>IFERROR(INDEX(lifespans_all!K$2:K$56,MATCH($A37,lifespans_all!$A$2:$A$56,0))*INDEX(SR_mission_minutes!K$2:K$43,MATCH($A37,SR_mission_minutes!$A$2:$A$43)),"-")</f>
        <v>-</v>
      </c>
      <c r="L37" s="108" t="str">
        <f>IFERROR(INDEX(lifespans_all!L$2:L$56,MATCH($A37,lifespans_all!$A$2:$A$56,0))*INDEX(SR_mission_minutes!L$2:L$43,MATCH($A37,SR_mission_minutes!$A$2:$A$43)),"-")</f>
        <v>-</v>
      </c>
      <c r="M37" s="108" t="str">
        <f>IFERROR(INDEX(lifespans_all!M$2:M$56,MATCH($A37,lifespans_all!$A$2:$A$56,0))*INDEX(SR_mission_minutes!M$2:M$43,MATCH($A37,SR_mission_minutes!$A$2:$A$43)),"-")</f>
        <v>-</v>
      </c>
      <c r="N37" s="108" t="str">
        <f>IFERROR(INDEX(lifespans_all!N$2:N$56,MATCH($A37,lifespans_all!$A$2:$A$56,0))*INDEX(SR_mission_minutes!N$2:N$43,MATCH($A37,SR_mission_minutes!$A$2:$A$43)),"-")</f>
        <v>-</v>
      </c>
      <c r="O37" s="108" t="str">
        <f>IFERROR(INDEX(lifespans_all!O$2:O$56,MATCH($A37,lifespans_all!$A$2:$A$56,0))*INDEX(SR_mission_minutes!O$2:O$43,MATCH($A37,SR_mission_minutes!$A$2:$A$43)),"-")</f>
        <v>-</v>
      </c>
      <c r="P37" s="108" t="str">
        <f>IFERROR(INDEX(lifespans_all!P$2:P$56,MATCH($A37,lifespans_all!$A$2:$A$56,0))*INDEX(SR_mission_minutes!P$2:P$43,MATCH($A37,SR_mission_minutes!$A$2:$A$43)),"-")</f>
        <v>-</v>
      </c>
      <c r="Q37" s="108" t="str">
        <f>IFERROR(INDEX(lifespans_all!Q$2:Q$56,MATCH($A37,lifespans_all!$A$2:$A$56,0))*INDEX(SR_mission_minutes!Q$2:Q$43,MATCH($A37,SR_mission_minutes!$A$2:$A$43)),"-")</f>
        <v>-</v>
      </c>
      <c r="R37" s="108" t="str">
        <f>IFERROR(INDEX(lifespans_all!R$2:R$56,MATCH($A37,lifespans_all!$A$2:$A$56,0))*INDEX(SR_mission_minutes!R$2:R$43,MATCH($A37,SR_mission_minutes!$A$2:$A$43)),"-")</f>
        <v>-</v>
      </c>
      <c r="S37" s="108" t="str">
        <f>IFERROR(INDEX(lifespans_all!S$2:S$56,MATCH($A37,lifespans_all!$A$2:$A$56,0))*INDEX(SR_mission_minutes!S$2:S$43,MATCH($A37,SR_mission_minutes!$A$2:$A$43)),"-")</f>
        <v>-</v>
      </c>
      <c r="T37" s="108" t="str">
        <f>IFERROR(INDEX(lifespans_all!T$2:T$56,MATCH($A37,lifespans_all!$A$2:$A$56,0))*INDEX(SR_mission_minutes!T$2:T$43,MATCH($A37,SR_mission_minutes!$A$2:$A$43)),"-")</f>
        <v>-</v>
      </c>
      <c r="U37" s="108" t="str">
        <f>IFERROR(INDEX(lifespans_all!U$2:U$56,MATCH($A37,lifespans_all!$A$2:$A$56,0))*INDEX(SR_mission_minutes!U$2:U$43,MATCH($A37,SR_mission_minutes!$A$2:$A$43)),"-")</f>
        <v>-</v>
      </c>
      <c r="V37" s="108" t="str">
        <f>IFERROR(INDEX(lifespans_all!V$2:V$56,MATCH($A37,lifespans_all!$A$2:$A$56,0))*INDEX(SR_mission_minutes!V$2:V$43,MATCH($A37,SR_mission_minutes!$A$2:$A$43)),"-")</f>
        <v>-</v>
      </c>
    </row>
    <row r="38" spans="1:22" x14ac:dyDescent="0.25">
      <c r="A38" s="32" t="s">
        <v>65</v>
      </c>
      <c r="B38" s="32" t="s">
        <v>41</v>
      </c>
      <c r="C38" s="108">
        <f>IFERROR(INDEX(lifespans_all!C$2:C$56,MATCH($A38,lifespans_all!$A$2:$A$56,0))*INDEX(SR_mission_minutes!C$2:C$43,MATCH($A38,SR_mission_minutes!$A$2:$A$43)),"-")</f>
        <v>66700.388888888891</v>
      </c>
      <c r="D38" s="108">
        <f>IFERROR(INDEX(lifespans_all!D$2:D$56,MATCH($A38,lifespans_all!$A$2:$A$56,0))*INDEX(SR_mission_minutes!D$2:D$43,MATCH($A38,SR_mission_minutes!$A$2:$A$43)),"-")</f>
        <v>66700.388888888891</v>
      </c>
      <c r="E38" s="108">
        <f>IFERROR(INDEX(lifespans_all!E$2:E$56,MATCH($A38,lifespans_all!$A$2:$A$56,0))*INDEX(SR_mission_minutes!E$2:E$43,MATCH($A38,SR_mission_minutes!$A$2:$A$43)),"-")</f>
        <v>66700.388888888891</v>
      </c>
      <c r="F38" s="108">
        <f>IFERROR(INDEX(lifespans_all!F$2:F$56,MATCH($A38,lifespans_all!$A$2:$A$56,0))*INDEX(SR_mission_minutes!F$2:F$43,MATCH($A38,SR_mission_minutes!$A$2:$A$43)),"-")</f>
        <v>66700.388888888891</v>
      </c>
      <c r="G38" s="108">
        <f>IFERROR(INDEX(lifespans_all!G$2:G$56,MATCH($A38,lifespans_all!$A$2:$A$56,0))*INDEX(SR_mission_minutes!G$2:G$43,MATCH($A38,SR_mission_minutes!$A$2:$A$43)),"-")</f>
        <v>66700.388888888891</v>
      </c>
      <c r="H38" s="108">
        <f>IFERROR(INDEX(lifespans_all!H$2:H$56,MATCH($A38,lifespans_all!$A$2:$A$56,0))*INDEX(SR_mission_minutes!H$2:H$43,MATCH($A38,SR_mission_minutes!$A$2:$A$43)),"-")</f>
        <v>66700.388888888891</v>
      </c>
      <c r="I38" s="108">
        <f>IFERROR(INDEX(lifespans_all!I$2:I$56,MATCH($A38,lifespans_all!$A$2:$A$56,0))*INDEX(SR_mission_minutes!I$2:I$43,MATCH($A38,SR_mission_minutes!$A$2:$A$43)),"-")</f>
        <v>66700.388888888891</v>
      </c>
      <c r="J38" s="108">
        <f>IFERROR(INDEX(lifespans_all!J$2:J$56,MATCH($A38,lifespans_all!$A$2:$A$56,0))*INDEX(SR_mission_minutes!J$2:J$43,MATCH($A38,SR_mission_minutes!$A$2:$A$43)),"-")</f>
        <v>0</v>
      </c>
      <c r="K38" s="108">
        <f>IFERROR(INDEX(lifespans_all!K$2:K$56,MATCH($A38,lifespans_all!$A$2:$A$56,0))*INDEX(SR_mission_minutes!K$2:K$43,MATCH($A38,SR_mission_minutes!$A$2:$A$43)),"-")</f>
        <v>0</v>
      </c>
      <c r="L38" s="108">
        <f>IFERROR(INDEX(lifespans_all!L$2:L$56,MATCH($A38,lifespans_all!$A$2:$A$56,0))*INDEX(SR_mission_minutes!L$2:L$43,MATCH($A38,SR_mission_minutes!$A$2:$A$43)),"-")</f>
        <v>0</v>
      </c>
      <c r="M38" s="108">
        <f>IFERROR(INDEX(lifespans_all!M$2:M$56,MATCH($A38,lifespans_all!$A$2:$A$56,0))*INDEX(SR_mission_minutes!M$2:M$43,MATCH($A38,SR_mission_minutes!$A$2:$A$43)),"-")</f>
        <v>0</v>
      </c>
      <c r="N38" s="108">
        <f>IFERROR(INDEX(lifespans_all!N$2:N$56,MATCH($A38,lifespans_all!$A$2:$A$56,0))*INDEX(SR_mission_minutes!N$2:N$43,MATCH($A38,SR_mission_minutes!$A$2:$A$43)),"-")</f>
        <v>0</v>
      </c>
      <c r="O38" s="108">
        <f>IFERROR(INDEX(lifespans_all!O$2:O$56,MATCH($A38,lifespans_all!$A$2:$A$56,0))*INDEX(SR_mission_minutes!O$2:O$43,MATCH($A38,SR_mission_minutes!$A$2:$A$43)),"-")</f>
        <v>0</v>
      </c>
      <c r="P38" s="108">
        <f>IFERROR(INDEX(lifespans_all!P$2:P$56,MATCH($A38,lifespans_all!$A$2:$A$56,0))*INDEX(SR_mission_minutes!P$2:P$43,MATCH($A38,SR_mission_minutes!$A$2:$A$43)),"-")</f>
        <v>0</v>
      </c>
      <c r="Q38" s="108">
        <f>IFERROR(INDEX(lifespans_all!Q$2:Q$56,MATCH($A38,lifespans_all!$A$2:$A$56,0))*INDEX(SR_mission_minutes!Q$2:Q$43,MATCH($A38,SR_mission_minutes!$A$2:$A$43)),"-")</f>
        <v>0</v>
      </c>
      <c r="R38" s="108">
        <f>IFERROR(INDEX(lifespans_all!R$2:R$56,MATCH($A38,lifespans_all!$A$2:$A$56,0))*INDEX(SR_mission_minutes!R$2:R$43,MATCH($A38,SR_mission_minutes!$A$2:$A$43)),"-")</f>
        <v>0</v>
      </c>
      <c r="S38" s="108">
        <f>IFERROR(INDEX(lifespans_all!S$2:S$56,MATCH($A38,lifespans_all!$A$2:$A$56,0))*INDEX(SR_mission_minutes!S$2:S$43,MATCH($A38,SR_mission_minutes!$A$2:$A$43)),"-")</f>
        <v>0</v>
      </c>
      <c r="T38" s="108">
        <f>IFERROR(INDEX(lifespans_all!T$2:T$56,MATCH($A38,lifespans_all!$A$2:$A$56,0))*INDEX(SR_mission_minutes!T$2:T$43,MATCH($A38,SR_mission_minutes!$A$2:$A$43)),"-")</f>
        <v>0</v>
      </c>
      <c r="U38" s="108">
        <f>IFERROR(INDEX(lifespans_all!U$2:U$56,MATCH($A38,lifespans_all!$A$2:$A$56,0))*INDEX(SR_mission_minutes!U$2:U$43,MATCH($A38,SR_mission_minutes!$A$2:$A$43)),"-")</f>
        <v>0</v>
      </c>
      <c r="V38" s="108">
        <f>IFERROR(INDEX(lifespans_all!V$2:V$56,MATCH($A38,lifespans_all!$A$2:$A$56,0))*INDEX(SR_mission_minutes!V$2:V$43,MATCH($A38,SR_mission_minutes!$A$2:$A$43)),"-")</f>
        <v>0</v>
      </c>
    </row>
    <row r="39" spans="1:22" x14ac:dyDescent="0.25">
      <c r="A39" s="32" t="s">
        <v>35</v>
      </c>
      <c r="B39" s="32" t="s">
        <v>40</v>
      </c>
      <c r="C39" s="108">
        <f>IFERROR(INDEX(lifespans_all!C$2:C$56,MATCH($A39,lifespans_all!$A$2:$A$56,0))*INDEX(SR_mission_minutes!C$2:C$43,MATCH($A39,SR_mission_minutes!$A$2:$A$43)),"-")</f>
        <v>2364.2857142857142</v>
      </c>
      <c r="D39" s="108">
        <f>IFERROR(INDEX(lifespans_all!D$2:D$56,MATCH($A39,lifespans_all!$A$2:$A$56,0))*INDEX(SR_mission_minutes!D$2:D$43,MATCH($A39,SR_mission_minutes!$A$2:$A$43)),"-")</f>
        <v>2364.2857142857142</v>
      </c>
      <c r="E39" s="108">
        <f>IFERROR(INDEX(lifespans_all!E$2:E$56,MATCH($A39,lifespans_all!$A$2:$A$56,0))*INDEX(SR_mission_minutes!E$2:E$43,MATCH($A39,SR_mission_minutes!$A$2:$A$43)),"-")</f>
        <v>0</v>
      </c>
      <c r="F39" s="108">
        <f>IFERROR(INDEX(lifespans_all!F$2:F$56,MATCH($A39,lifespans_all!$A$2:$A$56,0))*INDEX(SR_mission_minutes!F$2:F$43,MATCH($A39,SR_mission_minutes!$A$2:$A$43)),"-")</f>
        <v>0</v>
      </c>
      <c r="G39" s="108">
        <f>IFERROR(INDEX(lifespans_all!G$2:G$56,MATCH($A39,lifespans_all!$A$2:$A$56,0))*INDEX(SR_mission_minutes!G$2:G$43,MATCH($A39,SR_mission_minutes!$A$2:$A$43)),"-")</f>
        <v>0</v>
      </c>
      <c r="H39" s="108">
        <f>IFERROR(INDEX(lifespans_all!H$2:H$56,MATCH($A39,lifespans_all!$A$2:$A$56,0))*INDEX(SR_mission_minutes!H$2:H$43,MATCH($A39,SR_mission_minutes!$A$2:$A$43)),"-")</f>
        <v>0</v>
      </c>
      <c r="I39" s="108">
        <f>IFERROR(INDEX(lifespans_all!I$2:I$56,MATCH($A39,lifespans_all!$A$2:$A$56,0))*INDEX(SR_mission_minutes!I$2:I$43,MATCH($A39,SR_mission_minutes!$A$2:$A$43)),"-")</f>
        <v>0</v>
      </c>
      <c r="J39" s="108">
        <f>IFERROR(INDEX(lifespans_all!J$2:J$56,MATCH($A39,lifespans_all!$A$2:$A$56,0))*INDEX(SR_mission_minutes!J$2:J$43,MATCH($A39,SR_mission_minutes!$A$2:$A$43)),"-")</f>
        <v>0</v>
      </c>
      <c r="K39" s="108">
        <f>IFERROR(INDEX(lifespans_all!K$2:K$56,MATCH($A39,lifespans_all!$A$2:$A$56,0))*INDEX(SR_mission_minutes!K$2:K$43,MATCH($A39,SR_mission_minutes!$A$2:$A$43)),"-")</f>
        <v>0</v>
      </c>
      <c r="L39" s="108">
        <f>IFERROR(INDEX(lifespans_all!L$2:L$56,MATCH($A39,lifespans_all!$A$2:$A$56,0))*INDEX(SR_mission_minutes!L$2:L$43,MATCH($A39,SR_mission_minutes!$A$2:$A$43)),"-")</f>
        <v>0</v>
      </c>
      <c r="M39" s="108">
        <f>IFERROR(INDEX(lifespans_all!M$2:M$56,MATCH($A39,lifespans_all!$A$2:$A$56,0))*INDEX(SR_mission_minutes!M$2:M$43,MATCH($A39,SR_mission_minutes!$A$2:$A$43)),"-")</f>
        <v>0</v>
      </c>
      <c r="N39" s="108">
        <f>IFERROR(INDEX(lifespans_all!N$2:N$56,MATCH($A39,lifespans_all!$A$2:$A$56,0))*INDEX(SR_mission_minutes!N$2:N$43,MATCH($A39,SR_mission_minutes!$A$2:$A$43)),"-")</f>
        <v>0</v>
      </c>
      <c r="O39" s="108">
        <f>IFERROR(INDEX(lifespans_all!O$2:O$56,MATCH($A39,lifespans_all!$A$2:$A$56,0))*INDEX(SR_mission_minutes!O$2:O$43,MATCH($A39,SR_mission_minutes!$A$2:$A$43)),"-")</f>
        <v>0</v>
      </c>
      <c r="P39" s="108">
        <f>IFERROR(INDEX(lifespans_all!P$2:P$56,MATCH($A39,lifespans_all!$A$2:$A$56,0))*INDEX(SR_mission_minutes!P$2:P$43,MATCH($A39,SR_mission_minutes!$A$2:$A$43)),"-")</f>
        <v>0</v>
      </c>
      <c r="Q39" s="108">
        <f>IFERROR(INDEX(lifespans_all!Q$2:Q$56,MATCH($A39,lifespans_all!$A$2:$A$56,0))*INDEX(SR_mission_minutes!Q$2:Q$43,MATCH($A39,SR_mission_minutes!$A$2:$A$43)),"-")</f>
        <v>0</v>
      </c>
      <c r="R39" s="108">
        <f>IFERROR(INDEX(lifespans_all!R$2:R$56,MATCH($A39,lifespans_all!$A$2:$A$56,0))*INDEX(SR_mission_minutes!R$2:R$43,MATCH($A39,SR_mission_minutes!$A$2:$A$43)),"-")</f>
        <v>0</v>
      </c>
      <c r="S39" s="108">
        <f>IFERROR(INDEX(lifespans_all!S$2:S$56,MATCH($A39,lifespans_all!$A$2:$A$56,0))*INDEX(SR_mission_minutes!S$2:S$43,MATCH($A39,SR_mission_minutes!$A$2:$A$43)),"-")</f>
        <v>0</v>
      </c>
      <c r="T39" s="108">
        <f>IFERROR(INDEX(lifespans_all!T$2:T$56,MATCH($A39,lifespans_all!$A$2:$A$56,0))*INDEX(SR_mission_minutes!T$2:T$43,MATCH($A39,SR_mission_minutes!$A$2:$A$43)),"-")</f>
        <v>0</v>
      </c>
      <c r="U39" s="108">
        <f>IFERROR(INDEX(lifespans_all!U$2:U$56,MATCH($A39,lifespans_all!$A$2:$A$56,0))*INDEX(SR_mission_minutes!U$2:U$43,MATCH($A39,SR_mission_minutes!$A$2:$A$43)),"-")</f>
        <v>0</v>
      </c>
      <c r="V39" s="108">
        <f>IFERROR(INDEX(lifespans_all!V$2:V$56,MATCH($A39,lifespans_all!$A$2:$A$56,0))*INDEX(SR_mission_minutes!V$2:V$43,MATCH($A39,SR_mission_minutes!$A$2:$A$43)),"-")</f>
        <v>0</v>
      </c>
    </row>
    <row r="40" spans="1:22" x14ac:dyDescent="0.25">
      <c r="A40" s="32" t="s">
        <v>36</v>
      </c>
      <c r="B40" s="32" t="s">
        <v>40</v>
      </c>
      <c r="C40" s="108">
        <f>IFERROR(INDEX(lifespans_all!C$2:C$56,MATCH($A40,lifespans_all!$A$2:$A$56,0))*INDEX(SR_mission_minutes!C$2:C$43,MATCH($A40,SR_mission_minutes!$A$2:$A$43)),"-")</f>
        <v>2364.2857142857142</v>
      </c>
      <c r="D40" s="108">
        <f>IFERROR(INDEX(lifespans_all!D$2:D$56,MATCH($A40,lifespans_all!$A$2:$A$56,0))*INDEX(SR_mission_minutes!D$2:D$43,MATCH($A40,SR_mission_minutes!$A$2:$A$43)),"-")</f>
        <v>2364.2857142857142</v>
      </c>
      <c r="E40" s="108">
        <f>IFERROR(INDEX(lifespans_all!E$2:E$56,MATCH($A40,lifespans_all!$A$2:$A$56,0))*INDEX(SR_mission_minutes!E$2:E$43,MATCH($A40,SR_mission_minutes!$A$2:$A$43)),"-")</f>
        <v>0</v>
      </c>
      <c r="F40" s="108">
        <f>IFERROR(INDEX(lifespans_all!F$2:F$56,MATCH($A40,lifespans_all!$A$2:$A$56,0))*INDEX(SR_mission_minutes!F$2:F$43,MATCH($A40,SR_mission_minutes!$A$2:$A$43)),"-")</f>
        <v>0</v>
      </c>
      <c r="G40" s="108">
        <f>IFERROR(INDEX(lifespans_all!G$2:G$56,MATCH($A40,lifespans_all!$A$2:$A$56,0))*INDEX(SR_mission_minutes!G$2:G$43,MATCH($A40,SR_mission_minutes!$A$2:$A$43)),"-")</f>
        <v>0</v>
      </c>
      <c r="H40" s="108">
        <f>IFERROR(INDEX(lifespans_all!H$2:H$56,MATCH($A40,lifespans_all!$A$2:$A$56,0))*INDEX(SR_mission_minutes!H$2:H$43,MATCH($A40,SR_mission_minutes!$A$2:$A$43)),"-")</f>
        <v>0</v>
      </c>
      <c r="I40" s="108">
        <f>IFERROR(INDEX(lifespans_all!I$2:I$56,MATCH($A40,lifespans_all!$A$2:$A$56,0))*INDEX(SR_mission_minutes!I$2:I$43,MATCH($A40,SR_mission_minutes!$A$2:$A$43)),"-")</f>
        <v>0</v>
      </c>
      <c r="J40" s="108">
        <f>IFERROR(INDEX(lifespans_all!J$2:J$56,MATCH($A40,lifespans_all!$A$2:$A$56,0))*INDEX(SR_mission_minutes!J$2:J$43,MATCH($A40,SR_mission_minutes!$A$2:$A$43)),"-")</f>
        <v>0</v>
      </c>
      <c r="K40" s="108">
        <f>IFERROR(INDEX(lifespans_all!K$2:K$56,MATCH($A40,lifespans_all!$A$2:$A$56,0))*INDEX(SR_mission_minutes!K$2:K$43,MATCH($A40,SR_mission_minutes!$A$2:$A$43)),"-")</f>
        <v>0</v>
      </c>
      <c r="L40" s="108">
        <f>IFERROR(INDEX(lifespans_all!L$2:L$56,MATCH($A40,lifespans_all!$A$2:$A$56,0))*INDEX(SR_mission_minutes!L$2:L$43,MATCH($A40,SR_mission_minutes!$A$2:$A$43)),"-")</f>
        <v>0</v>
      </c>
      <c r="M40" s="108">
        <f>IFERROR(INDEX(lifespans_all!M$2:M$56,MATCH($A40,lifespans_all!$A$2:$A$56,0))*INDEX(SR_mission_minutes!M$2:M$43,MATCH($A40,SR_mission_minutes!$A$2:$A$43)),"-")</f>
        <v>0</v>
      </c>
      <c r="N40" s="108">
        <f>IFERROR(INDEX(lifespans_all!N$2:N$56,MATCH($A40,lifespans_all!$A$2:$A$56,0))*INDEX(SR_mission_minutes!N$2:N$43,MATCH($A40,SR_mission_minutes!$A$2:$A$43)),"-")</f>
        <v>0</v>
      </c>
      <c r="O40" s="108">
        <f>IFERROR(INDEX(lifespans_all!O$2:O$56,MATCH($A40,lifespans_all!$A$2:$A$56,0))*INDEX(SR_mission_minutes!O$2:O$43,MATCH($A40,SR_mission_minutes!$A$2:$A$43)),"-")</f>
        <v>0</v>
      </c>
      <c r="P40" s="108">
        <f>IFERROR(INDEX(lifespans_all!P$2:P$56,MATCH($A40,lifespans_all!$A$2:$A$56,0))*INDEX(SR_mission_minutes!P$2:P$43,MATCH($A40,SR_mission_minutes!$A$2:$A$43)),"-")</f>
        <v>0</v>
      </c>
      <c r="Q40" s="108">
        <f>IFERROR(INDEX(lifespans_all!Q$2:Q$56,MATCH($A40,lifespans_all!$A$2:$A$56,0))*INDEX(SR_mission_minutes!Q$2:Q$43,MATCH($A40,SR_mission_minutes!$A$2:$A$43)),"-")</f>
        <v>0</v>
      </c>
      <c r="R40" s="108">
        <f>IFERROR(INDEX(lifespans_all!R$2:R$56,MATCH($A40,lifespans_all!$A$2:$A$56,0))*INDEX(SR_mission_minutes!R$2:R$43,MATCH($A40,SR_mission_minutes!$A$2:$A$43)),"-")</f>
        <v>0</v>
      </c>
      <c r="S40" s="108">
        <f>IFERROR(INDEX(lifespans_all!S$2:S$56,MATCH($A40,lifespans_all!$A$2:$A$56,0))*INDEX(SR_mission_minutes!S$2:S$43,MATCH($A40,SR_mission_minutes!$A$2:$A$43)),"-")</f>
        <v>0</v>
      </c>
      <c r="T40" s="108">
        <f>IFERROR(INDEX(lifespans_all!T$2:T$56,MATCH($A40,lifespans_all!$A$2:$A$56,0))*INDEX(SR_mission_minutes!T$2:T$43,MATCH($A40,SR_mission_minutes!$A$2:$A$43)),"-")</f>
        <v>0</v>
      </c>
      <c r="U40" s="108">
        <f>IFERROR(INDEX(lifespans_all!U$2:U$56,MATCH($A40,lifespans_all!$A$2:$A$56,0))*INDEX(SR_mission_minutes!U$2:U$43,MATCH($A40,SR_mission_minutes!$A$2:$A$43)),"-")</f>
        <v>0</v>
      </c>
      <c r="V40" s="108">
        <f>IFERROR(INDEX(lifespans_all!V$2:V$56,MATCH($A40,lifespans_all!$A$2:$A$56,0))*INDEX(SR_mission_minutes!V$2:V$43,MATCH($A40,SR_mission_minutes!$A$2:$A$43)),"-")</f>
        <v>0</v>
      </c>
    </row>
    <row r="41" spans="1:22" x14ac:dyDescent="0.25">
      <c r="A41" s="32" t="s">
        <v>37</v>
      </c>
      <c r="B41" s="32" t="s">
        <v>40</v>
      </c>
      <c r="C41" s="108">
        <f>IFERROR(INDEX(lifespans_all!C$2:C$56,MATCH($A41,lifespans_all!$A$2:$A$56,0))*INDEX(SR_mission_minutes!C$2:C$43,MATCH($A41,SR_mission_minutes!$A$2:$A$43)),"-")</f>
        <v>2364.2857142857142</v>
      </c>
      <c r="D41" s="108">
        <f>IFERROR(INDEX(lifespans_all!D$2:D$56,MATCH($A41,lifespans_all!$A$2:$A$56,0))*INDEX(SR_mission_minutes!D$2:D$43,MATCH($A41,SR_mission_minutes!$A$2:$A$43)),"-")</f>
        <v>2364.2857142857142</v>
      </c>
      <c r="E41" s="108">
        <f>IFERROR(INDEX(lifespans_all!E$2:E$56,MATCH($A41,lifespans_all!$A$2:$A$56,0))*INDEX(SR_mission_minutes!E$2:E$43,MATCH($A41,SR_mission_minutes!$A$2:$A$43)),"-")</f>
        <v>0</v>
      </c>
      <c r="F41" s="108">
        <f>IFERROR(INDEX(lifespans_all!F$2:F$56,MATCH($A41,lifespans_all!$A$2:$A$56,0))*INDEX(SR_mission_minutes!F$2:F$43,MATCH($A41,SR_mission_minutes!$A$2:$A$43)),"-")</f>
        <v>0</v>
      </c>
      <c r="G41" s="108">
        <f>IFERROR(INDEX(lifespans_all!G$2:G$56,MATCH($A41,lifespans_all!$A$2:$A$56,0))*INDEX(SR_mission_minutes!G$2:G$43,MATCH($A41,SR_mission_minutes!$A$2:$A$43)),"-")</f>
        <v>0</v>
      </c>
      <c r="H41" s="108">
        <f>IFERROR(INDEX(lifespans_all!H$2:H$56,MATCH($A41,lifespans_all!$A$2:$A$56,0))*INDEX(SR_mission_minutes!H$2:H$43,MATCH($A41,SR_mission_minutes!$A$2:$A$43)),"-")</f>
        <v>0</v>
      </c>
      <c r="I41" s="108">
        <f>IFERROR(INDEX(lifespans_all!I$2:I$56,MATCH($A41,lifespans_all!$A$2:$A$56,0))*INDEX(SR_mission_minutes!I$2:I$43,MATCH($A41,SR_mission_minutes!$A$2:$A$43)),"-")</f>
        <v>0</v>
      </c>
      <c r="J41" s="108">
        <f>IFERROR(INDEX(lifespans_all!J$2:J$56,MATCH($A41,lifespans_all!$A$2:$A$56,0))*INDEX(SR_mission_minutes!J$2:J$43,MATCH($A41,SR_mission_minutes!$A$2:$A$43)),"-")</f>
        <v>0</v>
      </c>
      <c r="K41" s="108">
        <f>IFERROR(INDEX(lifespans_all!K$2:K$56,MATCH($A41,lifespans_all!$A$2:$A$56,0))*INDEX(SR_mission_minutes!K$2:K$43,MATCH($A41,SR_mission_minutes!$A$2:$A$43)),"-")</f>
        <v>0</v>
      </c>
      <c r="L41" s="108">
        <f>IFERROR(INDEX(lifespans_all!L$2:L$56,MATCH($A41,lifespans_all!$A$2:$A$56,0))*INDEX(SR_mission_minutes!L$2:L$43,MATCH($A41,SR_mission_minutes!$A$2:$A$43)),"-")</f>
        <v>0</v>
      </c>
      <c r="M41" s="108">
        <f>IFERROR(INDEX(lifespans_all!M$2:M$56,MATCH($A41,lifespans_all!$A$2:$A$56,0))*INDEX(SR_mission_minutes!M$2:M$43,MATCH($A41,SR_mission_minutes!$A$2:$A$43)),"-")</f>
        <v>0</v>
      </c>
      <c r="N41" s="108">
        <f>IFERROR(INDEX(lifespans_all!N$2:N$56,MATCH($A41,lifespans_all!$A$2:$A$56,0))*INDEX(SR_mission_minutes!N$2:N$43,MATCH($A41,SR_mission_minutes!$A$2:$A$43)),"-")</f>
        <v>0</v>
      </c>
      <c r="O41" s="108">
        <f>IFERROR(INDEX(lifespans_all!O$2:O$56,MATCH($A41,lifespans_all!$A$2:$A$56,0))*INDEX(SR_mission_minutes!O$2:O$43,MATCH($A41,SR_mission_minutes!$A$2:$A$43)),"-")</f>
        <v>0</v>
      </c>
      <c r="P41" s="108">
        <f>IFERROR(INDEX(lifespans_all!P$2:P$56,MATCH($A41,lifespans_all!$A$2:$A$56,0))*INDEX(SR_mission_minutes!P$2:P$43,MATCH($A41,SR_mission_minutes!$A$2:$A$43)),"-")</f>
        <v>0</v>
      </c>
      <c r="Q41" s="108">
        <f>IFERROR(INDEX(lifespans_all!Q$2:Q$56,MATCH($A41,lifespans_all!$A$2:$A$56,0))*INDEX(SR_mission_minutes!Q$2:Q$43,MATCH($A41,SR_mission_minutes!$A$2:$A$43)),"-")</f>
        <v>0</v>
      </c>
      <c r="R41" s="108">
        <f>IFERROR(INDEX(lifespans_all!R$2:R$56,MATCH($A41,lifespans_all!$A$2:$A$56,0))*INDEX(SR_mission_minutes!R$2:R$43,MATCH($A41,SR_mission_minutes!$A$2:$A$43)),"-")</f>
        <v>0</v>
      </c>
      <c r="S41" s="108">
        <f>IFERROR(INDEX(lifespans_all!S$2:S$56,MATCH($A41,lifespans_all!$A$2:$A$56,0))*INDEX(SR_mission_minutes!S$2:S$43,MATCH($A41,SR_mission_minutes!$A$2:$A$43)),"-")</f>
        <v>0</v>
      </c>
      <c r="T41" s="108">
        <f>IFERROR(INDEX(lifespans_all!T$2:T$56,MATCH($A41,lifespans_all!$A$2:$A$56,0))*INDEX(SR_mission_minutes!T$2:T$43,MATCH($A41,SR_mission_minutes!$A$2:$A$43)),"-")</f>
        <v>0</v>
      </c>
      <c r="U41" s="108">
        <f>IFERROR(INDEX(lifespans_all!U$2:U$56,MATCH($A41,lifespans_all!$A$2:$A$56,0))*INDEX(SR_mission_minutes!U$2:U$43,MATCH($A41,SR_mission_minutes!$A$2:$A$43)),"-")</f>
        <v>0</v>
      </c>
      <c r="V41" s="108">
        <f>IFERROR(INDEX(lifespans_all!V$2:V$56,MATCH($A41,lifespans_all!$A$2:$A$56,0))*INDEX(SR_mission_minutes!V$2:V$43,MATCH($A41,SR_mission_minutes!$A$2:$A$43)),"-")</f>
        <v>0</v>
      </c>
    </row>
    <row r="42" spans="1:22" x14ac:dyDescent="0.25">
      <c r="A42" s="32" t="s">
        <v>38</v>
      </c>
      <c r="B42" s="32" t="s">
        <v>41</v>
      </c>
      <c r="C42" s="108">
        <f>IFERROR(INDEX(lifespans_all!C$2:C$56,MATCH($A42,lifespans_all!$A$2:$A$56,0))*INDEX(SR_mission_minutes!C$2:C$43,MATCH($A42,SR_mission_minutes!$A$2:$A$43)),"-")</f>
        <v>66700.388888888891</v>
      </c>
      <c r="D42" s="108">
        <f>IFERROR(INDEX(lifespans_all!D$2:D$56,MATCH($A42,lifespans_all!$A$2:$A$56,0))*INDEX(SR_mission_minutes!D$2:D$43,MATCH($A42,SR_mission_minutes!$A$2:$A$43)),"-")</f>
        <v>0</v>
      </c>
      <c r="E42" s="108">
        <f>IFERROR(INDEX(lifespans_all!E$2:E$56,MATCH($A42,lifespans_all!$A$2:$A$56,0))*INDEX(SR_mission_minutes!E$2:E$43,MATCH($A42,SR_mission_minutes!$A$2:$A$43)),"-")</f>
        <v>0</v>
      </c>
      <c r="F42" s="108">
        <f>IFERROR(INDEX(lifespans_all!F$2:F$56,MATCH($A42,lifespans_all!$A$2:$A$56,0))*INDEX(SR_mission_minutes!F$2:F$43,MATCH($A42,SR_mission_minutes!$A$2:$A$43)),"-")</f>
        <v>0</v>
      </c>
      <c r="G42" s="108">
        <f>IFERROR(INDEX(lifespans_all!G$2:G$56,MATCH($A42,lifespans_all!$A$2:$A$56,0))*INDEX(SR_mission_minutes!G$2:G$43,MATCH($A42,SR_mission_minutes!$A$2:$A$43)),"-")</f>
        <v>0</v>
      </c>
      <c r="H42" s="108">
        <f>IFERROR(INDEX(lifespans_all!H$2:H$56,MATCH($A42,lifespans_all!$A$2:$A$56,0))*INDEX(SR_mission_minutes!H$2:H$43,MATCH($A42,SR_mission_minutes!$A$2:$A$43)),"-")</f>
        <v>0</v>
      </c>
      <c r="I42" s="108">
        <f>IFERROR(INDEX(lifespans_all!I$2:I$56,MATCH($A42,lifespans_all!$A$2:$A$56,0))*INDEX(SR_mission_minutes!I$2:I$43,MATCH($A42,SR_mission_minutes!$A$2:$A$43)),"-")</f>
        <v>0</v>
      </c>
      <c r="J42" s="108">
        <f>IFERROR(INDEX(lifespans_all!J$2:J$56,MATCH($A42,lifespans_all!$A$2:$A$56,0))*INDEX(SR_mission_minutes!J$2:J$43,MATCH($A42,SR_mission_minutes!$A$2:$A$43)),"-")</f>
        <v>0</v>
      </c>
      <c r="K42" s="108">
        <f>IFERROR(INDEX(lifespans_all!K$2:K$56,MATCH($A42,lifespans_all!$A$2:$A$56,0))*INDEX(SR_mission_minutes!K$2:K$43,MATCH($A42,SR_mission_minutes!$A$2:$A$43)),"-")</f>
        <v>0</v>
      </c>
      <c r="L42" s="108">
        <f>IFERROR(INDEX(lifespans_all!L$2:L$56,MATCH($A42,lifespans_all!$A$2:$A$56,0))*INDEX(SR_mission_minutes!L$2:L$43,MATCH($A42,SR_mission_minutes!$A$2:$A$43)),"-")</f>
        <v>0</v>
      </c>
      <c r="M42" s="108">
        <f>IFERROR(INDEX(lifespans_all!M$2:M$56,MATCH($A42,lifespans_all!$A$2:$A$56,0))*INDEX(SR_mission_minutes!M$2:M$43,MATCH($A42,SR_mission_minutes!$A$2:$A$43)),"-")</f>
        <v>0</v>
      </c>
      <c r="N42" s="108">
        <f>IFERROR(INDEX(lifespans_all!N$2:N$56,MATCH($A42,lifespans_all!$A$2:$A$56,0))*INDEX(SR_mission_minutes!N$2:N$43,MATCH($A42,SR_mission_minutes!$A$2:$A$43)),"-")</f>
        <v>0</v>
      </c>
      <c r="O42" s="108">
        <f>IFERROR(INDEX(lifespans_all!O$2:O$56,MATCH($A42,lifespans_all!$A$2:$A$56,0))*INDEX(SR_mission_minutes!O$2:O$43,MATCH($A42,SR_mission_minutes!$A$2:$A$43)),"-")</f>
        <v>0</v>
      </c>
      <c r="P42" s="108">
        <f>IFERROR(INDEX(lifespans_all!P$2:P$56,MATCH($A42,lifespans_all!$A$2:$A$56,0))*INDEX(SR_mission_minutes!P$2:P$43,MATCH($A42,SR_mission_minutes!$A$2:$A$43)),"-")</f>
        <v>0</v>
      </c>
      <c r="Q42" s="108">
        <f>IFERROR(INDEX(lifespans_all!Q$2:Q$56,MATCH($A42,lifespans_all!$A$2:$A$56,0))*INDEX(SR_mission_minutes!Q$2:Q$43,MATCH($A42,SR_mission_minutes!$A$2:$A$43)),"-")</f>
        <v>0</v>
      </c>
      <c r="R42" s="108">
        <f>IFERROR(INDEX(lifespans_all!R$2:R$56,MATCH($A42,lifespans_all!$A$2:$A$56,0))*INDEX(SR_mission_minutes!R$2:R$43,MATCH($A42,SR_mission_minutes!$A$2:$A$43)),"-")</f>
        <v>0</v>
      </c>
      <c r="S42" s="108">
        <f>IFERROR(INDEX(lifespans_all!S$2:S$56,MATCH($A42,lifespans_all!$A$2:$A$56,0))*INDEX(SR_mission_minutes!S$2:S$43,MATCH($A42,SR_mission_minutes!$A$2:$A$43)),"-")</f>
        <v>0</v>
      </c>
      <c r="T42" s="108">
        <f>IFERROR(INDEX(lifespans_all!T$2:T$56,MATCH($A42,lifespans_all!$A$2:$A$56,0))*INDEX(SR_mission_minutes!T$2:T$43,MATCH($A42,SR_mission_minutes!$A$2:$A$43)),"-")</f>
        <v>0</v>
      </c>
      <c r="U42" s="108">
        <f>IFERROR(INDEX(lifespans_all!U$2:U$56,MATCH($A42,lifespans_all!$A$2:$A$56,0))*INDEX(SR_mission_minutes!U$2:U$43,MATCH($A42,SR_mission_minutes!$A$2:$A$43)),"-")</f>
        <v>0</v>
      </c>
      <c r="V42" s="108">
        <f>IFERROR(INDEX(lifespans_all!V$2:V$56,MATCH($A42,lifespans_all!$A$2:$A$56,0))*INDEX(SR_mission_minutes!V$2:V$43,MATCH($A42,SR_mission_minutes!$A$2:$A$43)),"-")</f>
        <v>0</v>
      </c>
    </row>
    <row r="43" spans="1:22" x14ac:dyDescent="0.25">
      <c r="A43" s="32" t="s">
        <v>39</v>
      </c>
      <c r="B43" s="32" t="s">
        <v>41</v>
      </c>
      <c r="C43" s="108">
        <f>IFERROR(INDEX(lifespans_all!C$2:C$56,MATCH($A43,lifespans_all!$A$2:$A$56,0))*INDEX(SR_mission_minutes!C$2:C$43,MATCH($A43,SR_mission_minutes!$A$2:$A$43)),"-")</f>
        <v>33739.333333333336</v>
      </c>
      <c r="D43" s="108">
        <f>IFERROR(INDEX(lifespans_all!D$2:D$56,MATCH($A43,lifespans_all!$A$2:$A$56,0))*INDEX(SR_mission_minutes!D$2:D$43,MATCH($A43,SR_mission_minutes!$A$2:$A$43)),"-")</f>
        <v>33739.333333333336</v>
      </c>
      <c r="E43" s="108">
        <f>IFERROR(INDEX(lifespans_all!E$2:E$56,MATCH($A43,lifespans_all!$A$2:$A$56,0))*INDEX(SR_mission_minutes!E$2:E$43,MATCH($A43,SR_mission_minutes!$A$2:$A$43)),"-")</f>
        <v>33739.333333333336</v>
      </c>
      <c r="F43" s="108">
        <f>IFERROR(INDEX(lifespans_all!F$2:F$56,MATCH($A43,lifespans_all!$A$2:$A$56,0))*INDEX(SR_mission_minutes!F$2:F$43,MATCH($A43,SR_mission_minutes!$A$2:$A$43)),"-")</f>
        <v>33739.333333333336</v>
      </c>
      <c r="G43" s="108">
        <f>IFERROR(INDEX(lifespans_all!G$2:G$56,MATCH($A43,lifespans_all!$A$2:$A$56,0))*INDEX(SR_mission_minutes!G$2:G$43,MATCH($A43,SR_mission_minutes!$A$2:$A$43)),"-")</f>
        <v>0</v>
      </c>
      <c r="H43" s="108">
        <f>IFERROR(INDEX(lifespans_all!H$2:H$56,MATCH($A43,lifespans_all!$A$2:$A$56,0))*INDEX(SR_mission_minutes!H$2:H$43,MATCH($A43,SR_mission_minutes!$A$2:$A$43)),"-")</f>
        <v>0</v>
      </c>
      <c r="I43" s="108">
        <f>IFERROR(INDEX(lifespans_all!I$2:I$56,MATCH($A43,lifespans_all!$A$2:$A$56,0))*INDEX(SR_mission_minutes!I$2:I$43,MATCH($A43,SR_mission_minutes!$A$2:$A$43)),"-")</f>
        <v>0</v>
      </c>
      <c r="J43" s="108">
        <f>IFERROR(INDEX(lifespans_all!J$2:J$56,MATCH($A43,lifespans_all!$A$2:$A$56,0))*INDEX(SR_mission_minutes!J$2:J$43,MATCH($A43,SR_mission_minutes!$A$2:$A$43)),"-")</f>
        <v>0</v>
      </c>
      <c r="K43" s="108">
        <f>IFERROR(INDEX(lifespans_all!K$2:K$56,MATCH($A43,lifespans_all!$A$2:$A$56,0))*INDEX(SR_mission_minutes!K$2:K$43,MATCH($A43,SR_mission_minutes!$A$2:$A$43)),"-")</f>
        <v>0</v>
      </c>
      <c r="L43" s="108">
        <f>IFERROR(INDEX(lifespans_all!L$2:L$56,MATCH($A43,lifespans_all!$A$2:$A$56,0))*INDEX(SR_mission_minutes!L$2:L$43,MATCH($A43,SR_mission_minutes!$A$2:$A$43)),"-")</f>
        <v>0</v>
      </c>
      <c r="M43" s="108">
        <f>IFERROR(INDEX(lifespans_all!M$2:M$56,MATCH($A43,lifespans_all!$A$2:$A$56,0))*INDEX(SR_mission_minutes!M$2:M$43,MATCH($A43,SR_mission_minutes!$A$2:$A$43)),"-")</f>
        <v>0</v>
      </c>
      <c r="N43" s="108">
        <f>IFERROR(INDEX(lifespans_all!N$2:N$56,MATCH($A43,lifespans_all!$A$2:$A$56,0))*INDEX(SR_mission_minutes!N$2:N$43,MATCH($A43,SR_mission_minutes!$A$2:$A$43)),"-")</f>
        <v>0</v>
      </c>
      <c r="O43" s="108">
        <f>IFERROR(INDEX(lifespans_all!O$2:O$56,MATCH($A43,lifespans_all!$A$2:$A$56,0))*INDEX(SR_mission_minutes!O$2:O$43,MATCH($A43,SR_mission_minutes!$A$2:$A$43)),"-")</f>
        <v>0</v>
      </c>
      <c r="P43" s="108">
        <f>IFERROR(INDEX(lifespans_all!P$2:P$56,MATCH($A43,lifespans_all!$A$2:$A$56,0))*INDEX(SR_mission_minutes!P$2:P$43,MATCH($A43,SR_mission_minutes!$A$2:$A$43)),"-")</f>
        <v>0</v>
      </c>
      <c r="Q43" s="108">
        <f>IFERROR(INDEX(lifespans_all!Q$2:Q$56,MATCH($A43,lifespans_all!$A$2:$A$56,0))*INDEX(SR_mission_minutes!Q$2:Q$43,MATCH($A43,SR_mission_minutes!$A$2:$A$43)),"-")</f>
        <v>0</v>
      </c>
      <c r="R43" s="108">
        <f>IFERROR(INDEX(lifespans_all!R$2:R$56,MATCH($A43,lifespans_all!$A$2:$A$56,0))*INDEX(SR_mission_minutes!R$2:R$43,MATCH($A43,SR_mission_minutes!$A$2:$A$43)),"-")</f>
        <v>0</v>
      </c>
      <c r="S43" s="108">
        <f>IFERROR(INDEX(lifespans_all!S$2:S$56,MATCH($A43,lifespans_all!$A$2:$A$56,0))*INDEX(SR_mission_minutes!S$2:S$43,MATCH($A43,SR_mission_minutes!$A$2:$A$43)),"-")</f>
        <v>0</v>
      </c>
      <c r="T43" s="108">
        <f>IFERROR(INDEX(lifespans_all!T$2:T$56,MATCH($A43,lifespans_all!$A$2:$A$56,0))*INDEX(SR_mission_minutes!T$2:T$43,MATCH($A43,SR_mission_minutes!$A$2:$A$43)),"-")</f>
        <v>0</v>
      </c>
      <c r="U43" s="108">
        <f>IFERROR(INDEX(lifespans_all!U$2:U$56,MATCH($A43,lifespans_all!$A$2:$A$56,0))*INDEX(SR_mission_minutes!U$2:U$43,MATCH($A43,SR_mission_minutes!$A$2:$A$43)),"-")</f>
        <v>0</v>
      </c>
      <c r="V43" s="108">
        <f>IFERROR(INDEX(lifespans_all!V$2:V$56,MATCH($A43,lifespans_all!$A$2:$A$56,0))*INDEX(SR_mission_minutes!V$2:V$43,MATCH($A43,SR_mission_minutes!$A$2:$A$43)),"-")</f>
        <v>0</v>
      </c>
    </row>
    <row r="44" spans="1:22" x14ac:dyDescent="0.25">
      <c r="A44" s="24" t="s">
        <v>88</v>
      </c>
      <c r="B44" s="23" t="s">
        <v>43</v>
      </c>
      <c r="C44" s="108">
        <f>IFERROR((INDEX(lifespans_all!C$49:C$56,MATCH($B44,lifespans_all!$B$49:$B$56,0))*SR_mission_minutes!C44)*POWER(1+(Historical_Cost!$C$88/100),C$1-2021),"-")</f>
        <v>-57439.5</v>
      </c>
      <c r="D44" s="108">
        <f>IFERROR((INDEX(lifespans_all!D$49:D$56,MATCH($B44,lifespans_all!$B$49:$B$56,0))*SR_mission_minutes!D44)*POWER(1+(Historical_Cost!$C$88/100),D$1-2021),"-")</f>
        <v>-117176.58</v>
      </c>
      <c r="E44" s="108">
        <f>IFERROR((INDEX(lifespans_all!E$49:E$56,MATCH($B44,lifespans_all!$B$49:$B$56,0))*SR_mission_minutes!E44)*POWER(1+(Historical_Cost!$C$88/100),E$1-2021),"-")</f>
        <v>-179280.16740000001</v>
      </c>
      <c r="F44" s="108">
        <f>IFERROR((INDEX(lifespans_all!F$49:F$56,MATCH($B44,lifespans_all!$B$49:$B$56,0))*SR_mission_minutes!F44)*POWER(1+(Historical_Cost!$C$88/100),F$1-2021),"-")</f>
        <v>-243821.02766399999</v>
      </c>
      <c r="G44" s="108">
        <f>IFERROR((INDEX(lifespans_all!G$49:G$56,MATCH($B44,lifespans_all!$B$49:$B$56,0))*SR_mission_minutes!G44)*POWER(1+(Historical_Cost!$C$88/100),G$1-2021),"-")</f>
        <v>-310871.81027159997</v>
      </c>
      <c r="H44" s="108">
        <f>IFERROR((INDEX(lifespans_all!H$49:H$56,MATCH($B44,lifespans_all!$B$49:$B$56,0))*SR_mission_minutes!H44)*POWER(1+(Historical_Cost!$C$88/100),H$1-2021),"-")</f>
        <v>-380507.09577243839</v>
      </c>
      <c r="I44" s="108">
        <f>IFERROR((INDEX(lifespans_all!I$49:I$56,MATCH($B44,lifespans_all!$B$49:$B$56,0))*SR_mission_minutes!I44)*POWER(1+(Historical_Cost!$C$88/100),I$1-2021),"-")</f>
        <v>-452803.4439692017</v>
      </c>
      <c r="J44" s="108">
        <f>IFERROR((INDEX(lifespans_all!J$49:J$56,MATCH($B44,lifespans_all!$B$49:$B$56,0))*SR_mission_minutes!J44)*POWER(1+(Historical_Cost!$C$88/100),J$1-2021),"-")</f>
        <v>-527839.44325552648</v>
      </c>
      <c r="K44" s="108">
        <f>IFERROR((INDEX(lifespans_all!K$49:K$56,MATCH($B44,lifespans_all!$B$49:$B$56,0))*SR_mission_minutes!K44)*POWER(1+(Historical_Cost!$C$88/100),K$1-2021),"-")</f>
        <v>-605695.76113571669</v>
      </c>
      <c r="L44" s="108">
        <f>IFERROR((INDEX(lifespans_all!L$49:L$56,MATCH($B44,lifespans_all!$B$49:$B$56,0))*SR_mission_minutes!L44)*POWER(1+(Historical_Cost!$C$88/100),L$1-2021),"-")</f>
        <v>-686455.19595381222</v>
      </c>
      <c r="M44" s="108">
        <f>IFERROR((INDEX(lifespans_all!M$49:M$56,MATCH($B44,lifespans_all!$B$49:$B$56,0))*SR_mission_minutes!M44)*POWER(1+(Historical_Cost!$C$88/100),M$1-2021),"-")</f>
        <v>-420110.57992373308</v>
      </c>
      <c r="N44" s="108">
        <f>IFERROR((INDEX(lifespans_all!N$49:N$56,MATCH($B44,lifespans_all!$B$49:$B$56,0))*SR_mission_minutes!N44)*POWER(1+(Historical_Cost!$C$88/100),N$1-2021),"-")</f>
        <v>-428512.79152220767</v>
      </c>
      <c r="O44" s="108">
        <f>IFERROR((INDEX(lifespans_all!O$49:O$56,MATCH($B44,lifespans_all!$B$49:$B$56,0))*SR_mission_minutes!O44)*POWER(1+(Historical_Cost!$C$88/100),O$1-2021),"-")</f>
        <v>-437083.04735265189</v>
      </c>
      <c r="P44" s="108">
        <f>IFERROR((INDEX(lifespans_all!P$49:P$56,MATCH($B44,lifespans_all!$B$49:$B$56,0))*SR_mission_minutes!P44)*POWER(1+(Historical_Cost!$C$88/100),P$1-2021),"-")</f>
        <v>-445824.70829970494</v>
      </c>
      <c r="Q44" s="108">
        <f>IFERROR((INDEX(lifespans_all!Q$49:Q$56,MATCH($B44,lifespans_all!$B$49:$B$56,0))*SR_mission_minutes!Q44)*POWER(1+(Historical_Cost!$C$88/100),Q$1-2021),"-")</f>
        <v>-454741.20246569905</v>
      </c>
      <c r="R44" s="108">
        <f>IFERROR((INDEX(lifespans_all!R$49:R$56,MATCH($B44,lifespans_all!$B$49:$B$56,0))*SR_mission_minutes!R44)*POWER(1+(Historical_Cost!$C$88/100),R$1-2021),"-")</f>
        <v>-463836.0265150129</v>
      </c>
      <c r="S44" s="108">
        <f>IFERROR((INDEX(lifespans_all!S$49:S$56,MATCH($B44,lifespans_all!$B$49:$B$56,0))*SR_mission_minutes!S44)*POWER(1+(Historical_Cost!$C$88/100),S$1-2021),"-")</f>
        <v>-473112.74704531324</v>
      </c>
      <c r="T44" s="108">
        <f>IFERROR((INDEX(lifespans_all!T$49:T$56,MATCH($B44,lifespans_all!$B$49:$B$56,0))*SR_mission_minutes!T44)*POWER(1+(Historical_Cost!$C$88/100),T$1-2021),"-")</f>
        <v>-482575.00198621955</v>
      </c>
      <c r="U44" s="108">
        <f>IFERROR((INDEX(lifespans_all!U$49:U$56,MATCH($B44,lifespans_all!$B$49:$B$56,0))*SR_mission_minutes!U44)*POWER(1+(Historical_Cost!$C$88/100),U$1-2021),"-")</f>
        <v>-492226.50202594389</v>
      </c>
      <c r="V44" s="108">
        <f>IFERROR((INDEX(lifespans_all!V$49:V$56,MATCH($B44,lifespans_all!$B$49:$B$56,0))*SR_mission_minutes!V44)*POWER(1+(Historical_Cost!$C$88/100),V$1-2021),"-")</f>
        <v>-502071.03206646274</v>
      </c>
    </row>
    <row r="45" spans="1:22" x14ac:dyDescent="0.25">
      <c r="A45" s="24" t="s">
        <v>88</v>
      </c>
      <c r="B45" s="23" t="s">
        <v>41</v>
      </c>
      <c r="C45" s="108">
        <f>IFERROR((INDEX(lifespans_all!C$49:C$56,MATCH($B45,lifespans_all!$B$49:$B$56,0))*SR_mission_minutes!C45)*POWER(1+(Historical_Cost!$C$88/100),C$1-2021),"-")</f>
        <v>-20010.116666666665</v>
      </c>
      <c r="D45" s="108">
        <f>IFERROR((INDEX(lifespans_all!D$49:D$56,MATCH($B45,lifespans_all!$B$49:$B$56,0))*SR_mission_minutes!D45)*POWER(1+(Historical_Cost!$C$88/100),D$1-2021),"-")</f>
        <v>95248.155333333329</v>
      </c>
      <c r="E45" s="108">
        <f>IFERROR((INDEX(lifespans_all!E$49:E$56,MATCH($B45,lifespans_all!$B$49:$B$56,0))*SR_mission_minutes!E45)*POWER(1+(Historical_Cost!$C$88/100),E$1-2021),"-")</f>
        <v>145729.67766000002</v>
      </c>
      <c r="F45" s="108">
        <f>IFERROR((INDEX(lifespans_all!F$49:F$56,MATCH($B45,lifespans_all!$B$49:$B$56,0))*SR_mission_minutes!F45)*POWER(1+(Historical_Cost!$C$88/100),F$1-2021),"-")</f>
        <v>268975.34790959995</v>
      </c>
      <c r="G45" s="108">
        <f>IFERROR((INDEX(lifespans_all!G$49:G$56,MATCH($B45,lifespans_all!$B$49:$B$56,0))*SR_mission_minutes!G45)*POWER(1+(Historical_Cost!$C$88/100),G$1-2021),"-")</f>
        <v>469291.19911596004</v>
      </c>
      <c r="H45" s="108">
        <f>IFERROR((INDEX(lifespans_all!H$49:H$56,MATCH($B45,lifespans_all!$B$49:$B$56,0))*SR_mission_minutes!H45)*POWER(1+(Historical_Cost!$C$88/100),H$1-2021),"-")</f>
        <v>677512.09423141065</v>
      </c>
      <c r="I45" s="108">
        <f>IFERROR((INDEX(lifespans_all!I$49:I$56,MATCH($B45,lifespans_all!$B$49:$B$56,0))*SR_mission_minutes!I45)*POWER(1+(Historical_Cost!$C$88/100),I$1-2021),"-")</f>
        <v>893874.10867183295</v>
      </c>
      <c r="J45" s="108">
        <f>IFERROR((INDEX(lifespans_all!J$49:J$56,MATCH($B45,lifespans_all!$B$49:$B$56,0))*SR_mission_minutes!J45)*POWER(1+(Historical_Cost!$C$88/100),J$1-2021),"-")</f>
        <v>1042001.8181088791</v>
      </c>
      <c r="K45" s="108">
        <f>IFERROR((INDEX(lifespans_all!K$49:K$56,MATCH($B45,lifespans_all!$B$49:$B$56,0))*SR_mission_minutes!K45)*POWER(1+(Historical_Cost!$C$88/100),K$1-2021),"-")</f>
        <v>1039396.8135636072</v>
      </c>
      <c r="L45" s="108">
        <f>IFERROR((INDEX(lifespans_all!L$49:L$56,MATCH($B45,lifespans_all!$B$49:$B$56,0))*SR_mission_minutes!L45)*POWER(1+(Historical_Cost!$C$88/100),L$1-2021),"-")</f>
        <v>1036270.8081092805</v>
      </c>
      <c r="M45" s="108">
        <f>IFERROR((INDEX(lifespans_all!M$49:M$56,MATCH($B45,lifespans_all!$B$49:$B$56,0))*SR_mission_minutes!M45)*POWER(1+(Historical_Cost!$C$88/100),M$1-2021),"-")</f>
        <v>1056996.2242714663</v>
      </c>
      <c r="N45" s="108">
        <f>IFERROR((INDEX(lifespans_all!N$49:N$56,MATCH($B45,lifespans_all!$B$49:$B$56,0))*SR_mission_minutes!N45)*POWER(1+(Historical_Cost!$C$88/100),N$1-2021),"-")</f>
        <v>1078136.1487568952</v>
      </c>
      <c r="O45" s="108">
        <f>IFERROR((INDEX(lifespans_all!O$49:O$56,MATCH($B45,lifespans_all!$B$49:$B$56,0))*SR_mission_minutes!O45)*POWER(1+(Historical_Cost!$C$88/100),O$1-2021),"-")</f>
        <v>1099698.8717320333</v>
      </c>
      <c r="P45" s="108">
        <f>IFERROR((INDEX(lifespans_all!P$49:P$56,MATCH($B45,lifespans_all!$B$49:$B$56,0))*SR_mission_minutes!P45)*POWER(1+(Historical_Cost!$C$88/100),P$1-2021),"-")</f>
        <v>1121692.8491666741</v>
      </c>
      <c r="Q45" s="108">
        <f>IFERROR((INDEX(lifespans_all!Q$49:Q$56,MATCH($B45,lifespans_all!$B$49:$B$56,0))*SR_mission_minutes!Q45)*POWER(1+(Historical_Cost!$C$88/100),Q$1-2021),"-")</f>
        <v>1144126.7061500077</v>
      </c>
      <c r="R45" s="108">
        <f>IFERROR((INDEX(lifespans_all!R$49:R$56,MATCH($B45,lifespans_all!$B$49:$B$56,0))*SR_mission_minutes!R45)*POWER(1+(Historical_Cost!$C$88/100),R$1-2021),"-")</f>
        <v>1167009.2402730074</v>
      </c>
      <c r="S45" s="108">
        <f>IFERROR((INDEX(lifespans_all!S$49:S$56,MATCH($B45,lifespans_all!$B$49:$B$56,0))*SR_mission_minutes!S45)*POWER(1+(Historical_Cost!$C$88/100),S$1-2021),"-")</f>
        <v>1190349.4250784677</v>
      </c>
      <c r="T45" s="108">
        <f>IFERROR((INDEX(lifespans_all!T$49:T$56,MATCH($B45,lifespans_all!$B$49:$B$56,0))*SR_mission_minutes!T45)*POWER(1+(Historical_Cost!$C$88/100),T$1-2021),"-")</f>
        <v>1214156.4135800372</v>
      </c>
      <c r="U45" s="108">
        <f>IFERROR((INDEX(lifespans_all!U$49:U$56,MATCH($B45,lifespans_all!$B$49:$B$56,0))*SR_mission_minutes!U45)*POWER(1+(Historical_Cost!$C$88/100),U$1-2021),"-")</f>
        <v>1238439.5418516379</v>
      </c>
      <c r="V45" s="108">
        <f>IFERROR((INDEX(lifespans_all!V$49:V$56,MATCH($B45,lifespans_all!$B$49:$B$56,0))*SR_mission_minutes!V45)*POWER(1+(Historical_Cost!$C$88/100),V$1-2021),"-")</f>
        <v>1263208.3326886706</v>
      </c>
    </row>
    <row r="46" spans="1:22" x14ac:dyDescent="0.25">
      <c r="A46" s="24" t="s">
        <v>88</v>
      </c>
      <c r="B46" s="23" t="s">
        <v>40</v>
      </c>
      <c r="C46" s="108">
        <f>IFERROR((INDEX(lifespans_all!C$49:C$56,MATCH($B46,lifespans_all!$B$49:$B$56,0))*SR_mission_minutes!C46)*POWER(1+(Historical_Cost!$C$88/100),C$1-2021),"-")</f>
        <v>-236.42857142857144</v>
      </c>
      <c r="D46" s="108">
        <f>IFERROR((INDEX(lifespans_all!D$49:D$56,MATCH($B46,lifespans_all!$B$49:$B$56,0))*SR_mission_minutes!D46)*POWER(1+(Historical_Cost!$C$88/100),D$1-2021),"-")</f>
        <v>-482.31428571428575</v>
      </c>
      <c r="E46" s="108">
        <f>IFERROR((INDEX(lifespans_all!E$49:E$56,MATCH($B46,lifespans_all!$B$49:$B$56,0))*SR_mission_minutes!E46)*POWER(1+(Historical_Cost!$C$88/100),E$1-2021),"-")</f>
        <v>9101.2705714285712</v>
      </c>
      <c r="F46" s="108">
        <f>IFERROR((INDEX(lifespans_all!F$49:F$56,MATCH($B46,lifespans_all!$B$49:$B$56,0))*SR_mission_minutes!F46)*POWER(1+(Historical_Cost!$C$88/100),F$1-2021),"-")</f>
        <v>9032.3960914285708</v>
      </c>
      <c r="G46" s="108">
        <f>IFERROR((INDEX(lifespans_all!G$49:G$56,MATCH($B46,lifespans_all!$B$49:$B$56,0))*SR_mission_minutes!G46)*POWER(1+(Historical_Cost!$C$88/100),G$1-2021),"-")</f>
        <v>8957.1261240000003</v>
      </c>
      <c r="H46" s="108">
        <f>IFERROR((INDEX(lifespans_all!H$49:H$56,MATCH($B46,lifespans_all!$B$49:$B$56,0))*SR_mission_minutes!H46)*POWER(1+(Historical_Cost!$C$88/100),H$1-2021),"-")</f>
        <v>8875.2323994377148</v>
      </c>
      <c r="I46" s="108">
        <f>IFERROR((INDEX(lifespans_all!I$49:I$56,MATCH($B46,lifespans_all!$B$49:$B$56,0))*SR_mission_minutes!I46)*POWER(1+(Historical_Cost!$C$88/100),I$1-2021),"-")</f>
        <v>8786.4800754433381</v>
      </c>
      <c r="J46" s="108">
        <f>IFERROR((INDEX(lifespans_all!J$49:J$56,MATCH($B46,lifespans_all!$B$49:$B$56,0))*SR_mission_minutes!J46)*POWER(1+(Historical_Cost!$C$88/100),J$1-2021),"-")</f>
        <v>8690.6275655294085</v>
      </c>
      <c r="K46" s="108">
        <f>IFERROR((INDEX(lifespans_all!K$49:K$56,MATCH($B46,lifespans_all!$B$49:$B$56,0))*SR_mission_minutes!K46)*POWER(1+(Historical_Cost!$C$88/100),K$1-2021),"-")</f>
        <v>8587.4263631887479</v>
      </c>
      <c r="L46" s="108">
        <f>IFERROR((INDEX(lifespans_all!L$49:L$56,MATCH($B46,lifespans_all!$B$49:$B$56,0))*SR_mission_minutes!L46)*POWER(1+(Historical_Cost!$C$88/100),L$1-2021),"-")</f>
        <v>8476.6208617282482</v>
      </c>
      <c r="M46" s="108">
        <f>IFERROR((INDEX(lifespans_all!M$49:M$56,MATCH($B46,lifespans_all!$B$49:$B$56,0))*SR_mission_minutes!M46)*POWER(1+(Historical_Cost!$C$88/100),M$1-2021),"-")</f>
        <v>8646.1532789628127</v>
      </c>
      <c r="N46" s="108">
        <f>IFERROR((INDEX(lifespans_all!N$49:N$56,MATCH($B46,lifespans_all!$B$49:$B$56,0))*SR_mission_minutes!N46)*POWER(1+(Historical_Cost!$C$88/100),N$1-2021),"-")</f>
        <v>8819.0763445420671</v>
      </c>
      <c r="O46" s="108">
        <f>IFERROR((INDEX(lifespans_all!O$49:O$56,MATCH($B46,lifespans_all!$B$49:$B$56,0))*SR_mission_minutes!O46)*POWER(1+(Historical_Cost!$C$88/100),O$1-2021),"-")</f>
        <v>8995.4578714329109</v>
      </c>
      <c r="P46" s="108">
        <f>IFERROR((INDEX(lifespans_all!P$49:P$56,MATCH($B46,lifespans_all!$B$49:$B$56,0))*SR_mission_minutes!P46)*POWER(1+(Historical_Cost!$C$88/100),P$1-2021),"-")</f>
        <v>9175.3670288615685</v>
      </c>
      <c r="Q46" s="108">
        <f>IFERROR((INDEX(lifespans_all!Q$49:Q$56,MATCH($B46,lifespans_all!$B$49:$B$56,0))*SR_mission_minutes!Q46)*POWER(1+(Historical_Cost!$C$88/100),Q$1-2021),"-")</f>
        <v>9358.8743694388013</v>
      </c>
      <c r="R46" s="108">
        <f>IFERROR((INDEX(lifespans_all!R$49:R$56,MATCH($B46,lifespans_all!$B$49:$B$56,0))*SR_mission_minutes!R46)*POWER(1+(Historical_Cost!$C$88/100),R$1-2021),"-")</f>
        <v>9546.0518568275747</v>
      </c>
      <c r="S46" s="108">
        <f>IFERROR((INDEX(lifespans_all!S$49:S$56,MATCH($B46,lifespans_all!$B$49:$B$56,0))*SR_mission_minutes!S46)*POWER(1+(Historical_Cost!$C$88/100),S$1-2021),"-")</f>
        <v>9736.9728939641263</v>
      </c>
      <c r="T46" s="108">
        <f>IFERROR((INDEX(lifespans_all!T$49:T$56,MATCH($B46,lifespans_all!$B$49:$B$56,0))*SR_mission_minutes!T46)*POWER(1+(Historical_Cost!$C$88/100),T$1-2021),"-")</f>
        <v>9931.7123518434109</v>
      </c>
      <c r="U46" s="108">
        <f>IFERROR((INDEX(lifespans_all!U$49:U$56,MATCH($B46,lifespans_all!$B$49:$B$56,0))*SR_mission_minutes!U46)*POWER(1+(Historical_Cost!$C$88/100),U$1-2021),"-")</f>
        <v>10130.346598880278</v>
      </c>
      <c r="V46" s="108">
        <f>IFERROR((INDEX(lifespans_all!V$49:V$56,MATCH($B46,lifespans_all!$B$49:$B$56,0))*SR_mission_minutes!V46)*POWER(1+(Historical_Cost!$C$88/100),V$1-2021),"-")</f>
        <v>10332.953530857883</v>
      </c>
    </row>
    <row r="47" spans="1:22" x14ac:dyDescent="0.25">
      <c r="A47" s="24" t="s">
        <v>88</v>
      </c>
      <c r="B47" s="23" t="s">
        <v>80</v>
      </c>
      <c r="C47" s="108" t="str">
        <f>IFERROR((INDEX(lifespans_all!C$49:C$56,MATCH($B47,lifespans_all!$B$49:$B$56,0))*SR_mission_minutes!C47)*POWER(1+(Historical_Cost!$C$88/100),C$1-2021),"-")</f>
        <v>-</v>
      </c>
      <c r="D47" s="108" t="str">
        <f>IFERROR((INDEX(lifespans_all!D$49:D$56,MATCH($B47,lifespans_all!$B$49:$B$56,0))*SR_mission_minutes!D47)*POWER(1+(Historical_Cost!$C$88/100),D$1-2021),"-")</f>
        <v>-</v>
      </c>
      <c r="E47" s="108" t="str">
        <f>IFERROR((INDEX(lifespans_all!E$49:E$56,MATCH($B47,lifespans_all!$B$49:$B$56,0))*SR_mission_minutes!E47)*POWER(1+(Historical_Cost!$C$88/100),E$1-2021),"-")</f>
        <v>-</v>
      </c>
      <c r="F47" s="108" t="str">
        <f>IFERROR((INDEX(lifespans_all!F$49:F$56,MATCH($B47,lifespans_all!$B$49:$B$56,0))*SR_mission_minutes!F47)*POWER(1+(Historical_Cost!$C$88/100),F$1-2021),"-")</f>
        <v>-</v>
      </c>
      <c r="G47" s="108" t="str">
        <f>IFERROR((INDEX(lifespans_all!G$49:G$56,MATCH($B47,lifespans_all!$B$49:$B$56,0))*SR_mission_minutes!G47)*POWER(1+(Historical_Cost!$C$88/100),G$1-2021),"-")</f>
        <v>-</v>
      </c>
      <c r="H47" s="108" t="str">
        <f>IFERROR((INDEX(lifespans_all!H$49:H$56,MATCH($B47,lifespans_all!$B$49:$B$56,0))*SR_mission_minutes!H47)*POWER(1+(Historical_Cost!$C$88/100),H$1-2021),"-")</f>
        <v>-</v>
      </c>
      <c r="I47" s="108" t="str">
        <f>IFERROR((INDEX(lifespans_all!I$49:I$56,MATCH($B47,lifespans_all!$B$49:$B$56,0))*SR_mission_minutes!I47)*POWER(1+(Historical_Cost!$C$88/100),I$1-2021),"-")</f>
        <v>-</v>
      </c>
      <c r="J47" s="108" t="str">
        <f>IFERROR((INDEX(lifespans_all!J$49:J$56,MATCH($B47,lifespans_all!$B$49:$B$56,0))*SR_mission_minutes!J47)*POWER(1+(Historical_Cost!$C$88/100),J$1-2021),"-")</f>
        <v>-</v>
      </c>
      <c r="K47" s="108" t="str">
        <f>IFERROR((INDEX(lifespans_all!K$49:K$56,MATCH($B47,lifespans_all!$B$49:$B$56,0))*SR_mission_minutes!K47)*POWER(1+(Historical_Cost!$C$88/100),K$1-2021),"-")</f>
        <v>-</v>
      </c>
      <c r="L47" s="108" t="str">
        <f>IFERROR((INDEX(lifespans_all!L$49:L$56,MATCH($B47,lifespans_all!$B$49:$B$56,0))*SR_mission_minutes!L47)*POWER(1+(Historical_Cost!$C$88/100),L$1-2021),"-")</f>
        <v>-</v>
      </c>
      <c r="M47" s="108" t="str">
        <f>IFERROR((INDEX(lifespans_all!M$49:M$56,MATCH($B47,lifespans_all!$B$49:$B$56,0))*SR_mission_minutes!M47)*POWER(1+(Historical_Cost!$C$88/100),M$1-2021),"-")</f>
        <v>-</v>
      </c>
      <c r="N47" s="108" t="str">
        <f>IFERROR((INDEX(lifespans_all!N$49:N$56,MATCH($B47,lifespans_all!$B$49:$B$56,0))*SR_mission_minutes!N47)*POWER(1+(Historical_Cost!$C$88/100),N$1-2021),"-")</f>
        <v>-</v>
      </c>
      <c r="O47" s="108" t="str">
        <f>IFERROR((INDEX(lifespans_all!O$49:O$56,MATCH($B47,lifespans_all!$B$49:$B$56,0))*SR_mission_minutes!O47)*POWER(1+(Historical_Cost!$C$88/100),O$1-2021),"-")</f>
        <v>-</v>
      </c>
      <c r="P47" s="108" t="str">
        <f>IFERROR((INDEX(lifespans_all!P$49:P$56,MATCH($B47,lifespans_all!$B$49:$B$56,0))*SR_mission_minutes!P47)*POWER(1+(Historical_Cost!$C$88/100),P$1-2021),"-")</f>
        <v>-</v>
      </c>
      <c r="Q47" s="108" t="str">
        <f>IFERROR((INDEX(lifespans_all!Q$49:Q$56,MATCH($B47,lifespans_all!$B$49:$B$56,0))*SR_mission_minutes!Q47)*POWER(1+(Historical_Cost!$C$88/100),Q$1-2021),"-")</f>
        <v>-</v>
      </c>
      <c r="R47" s="108" t="str">
        <f>IFERROR((INDEX(lifespans_all!R$49:R$56,MATCH($B47,lifespans_all!$B$49:$B$56,0))*SR_mission_minutes!R47)*POWER(1+(Historical_Cost!$C$88/100),R$1-2021),"-")</f>
        <v>-</v>
      </c>
      <c r="S47" s="108" t="str">
        <f>IFERROR((INDEX(lifespans_all!S$49:S$56,MATCH($B47,lifespans_all!$B$49:$B$56,0))*SR_mission_minutes!S47)*POWER(1+(Historical_Cost!$C$88/100),S$1-2021),"-")</f>
        <v>-</v>
      </c>
      <c r="T47" s="108" t="str">
        <f>IFERROR((INDEX(lifespans_all!T$49:T$56,MATCH($B47,lifespans_all!$B$49:$B$56,0))*SR_mission_minutes!T47)*POWER(1+(Historical_Cost!$C$88/100),T$1-2021),"-")</f>
        <v>-</v>
      </c>
      <c r="U47" s="108" t="str">
        <f>IFERROR((INDEX(lifespans_all!U$49:U$56,MATCH($B47,lifespans_all!$B$49:$B$56,0))*SR_mission_minutes!U47)*POWER(1+(Historical_Cost!$C$88/100),U$1-2021),"-")</f>
        <v>-</v>
      </c>
      <c r="V47" s="108" t="str">
        <f>IFERROR((INDEX(lifespans_all!V$49:V$56,MATCH($B47,lifespans_all!$B$49:$B$56,0))*SR_mission_minutes!V47)*POWER(1+(Historical_Cost!$C$88/100),V$1-2021),"-")</f>
        <v>-</v>
      </c>
    </row>
    <row r="48" spans="1:22" x14ac:dyDescent="0.25">
      <c r="A48" s="24" t="s">
        <v>88</v>
      </c>
      <c r="B48" s="23" t="s">
        <v>44</v>
      </c>
      <c r="C48" s="108">
        <f>IFERROR((INDEX(lifespans_all!C$49:C$56,MATCH($B48,lifespans_all!$B$49:$B$56,0))*SR_mission_minutes!C48)*POWER(1+(Historical_Cost!$C$88/100),C$1-2021),"-")</f>
        <v>-46.050000000000004</v>
      </c>
      <c r="D48" s="108">
        <f>IFERROR((INDEX(lifespans_all!D$49:D$56,MATCH($B48,lifespans_all!$B$49:$B$56,0))*SR_mission_minutes!D48)*POWER(1+(Historical_Cost!$C$88/100),D$1-2021),"-")</f>
        <v>-93.942000000000007</v>
      </c>
      <c r="E48" s="108">
        <f>IFERROR((INDEX(lifespans_all!E$49:E$56,MATCH($B48,lifespans_all!$B$49:$B$56,0))*SR_mission_minutes!E48)*POWER(1+(Historical_Cost!$C$88/100),E$1-2021),"-")</f>
        <v>-143.73126000000002</v>
      </c>
      <c r="F48" s="108">
        <f>IFERROR((INDEX(lifespans_all!F$49:F$56,MATCH($B48,lifespans_all!$B$49:$B$56,0))*SR_mission_minutes!F48)*POWER(1+(Historical_Cost!$C$88/100),F$1-2021),"-")</f>
        <v>-195.47451359999999</v>
      </c>
      <c r="G48" s="108">
        <f>IFERROR((INDEX(lifespans_all!G$49:G$56,MATCH($B48,lifespans_all!$B$49:$B$56,0))*SR_mission_minutes!G48)*POWER(1+(Historical_Cost!$C$88/100),G$1-2021),"-")</f>
        <v>249.23000483999999</v>
      </c>
      <c r="H48" s="108">
        <f>IFERROR((INDEX(lifespans_all!H$49:H$56,MATCH($B48,lifespans_all!$B$49:$B$56,0))*SR_mission_minutes!H48)*POWER(1+(Historical_Cost!$C$88/100),H$1-2021),"-")</f>
        <v>203.37168394944001</v>
      </c>
      <c r="I48" s="108">
        <f>IFERROR((INDEX(lifespans_all!I$49:I$56,MATCH($B48,lifespans_all!$B$49:$B$56,0))*SR_mission_minutes!I48)*POWER(1+(Historical_Cost!$C$88/100),I$1-2021),"-")</f>
        <v>155.57933822132165</v>
      </c>
      <c r="J48" s="108">
        <f>IFERROR((INDEX(lifespans_all!J$49:J$56,MATCH($B48,lifespans_all!$B$49:$B$56,0))*SR_mission_minutes!J48)*POWER(1+(Historical_Cost!$C$88/100),J$1-2021),"-")</f>
        <v>105.79394999049872</v>
      </c>
      <c r="K48" s="108">
        <f>IFERROR((INDEX(lifespans_all!K$49:K$56,MATCH($B48,lifespans_all!$B$49:$B$56,0))*SR_mission_minutes!K48)*POWER(1+(Historical_Cost!$C$88/100),K$1-2021),"-")</f>
        <v>53.954914495154377</v>
      </c>
      <c r="L48" s="108">
        <f>IFERROR((INDEX(lifespans_all!L$49:L$56,MATCH($B48,lifespans_all!$B$49:$B$56,0))*SR_mission_minutes!L48)*POWER(1+(Historical_Cost!$C$88/100),L$1-2021),"-")</f>
        <v>0</v>
      </c>
      <c r="M48" s="108">
        <f>IFERROR((INDEX(lifespans_all!M$49:M$56,MATCH($B48,lifespans_all!$B$49:$B$56,0))*SR_mission_minutes!M48)*POWER(1+(Historical_Cost!$C$88/100),M$1-2021),"-")</f>
        <v>0</v>
      </c>
      <c r="N48" s="108">
        <f>IFERROR((INDEX(lifespans_all!N$49:N$56,MATCH($B48,lifespans_all!$B$49:$B$56,0))*SR_mission_minutes!N48)*POWER(1+(Historical_Cost!$C$88/100),N$1-2021),"-")</f>
        <v>0</v>
      </c>
      <c r="O48" s="108">
        <f>IFERROR((INDEX(lifespans_all!O$49:O$56,MATCH($B48,lifespans_all!$B$49:$B$56,0))*SR_mission_minutes!O48)*POWER(1+(Historical_Cost!$C$88/100),O$1-2021),"-")</f>
        <v>0</v>
      </c>
      <c r="P48" s="108">
        <f>IFERROR((INDEX(lifespans_all!P$49:P$56,MATCH($B48,lifespans_all!$B$49:$B$56,0))*SR_mission_minutes!P48)*POWER(1+(Historical_Cost!$C$88/100),P$1-2021),"-")</f>
        <v>0</v>
      </c>
      <c r="Q48" s="108">
        <f>IFERROR((INDEX(lifespans_all!Q$49:Q$56,MATCH($B48,lifespans_all!$B$49:$B$56,0))*SR_mission_minutes!Q48)*POWER(1+(Historical_Cost!$C$88/100),Q$1-2021),"-")</f>
        <v>0</v>
      </c>
      <c r="R48" s="108">
        <f>IFERROR((INDEX(lifespans_all!R$49:R$56,MATCH($B48,lifespans_all!$B$49:$B$56,0))*SR_mission_minutes!R48)*POWER(1+(Historical_Cost!$C$88/100),R$1-2021),"-")</f>
        <v>0</v>
      </c>
      <c r="S48" s="108">
        <f>IFERROR((INDEX(lifespans_all!S$49:S$56,MATCH($B48,lifespans_all!$B$49:$B$56,0))*SR_mission_minutes!S48)*POWER(1+(Historical_Cost!$C$88/100),S$1-2021),"-")</f>
        <v>0</v>
      </c>
      <c r="T48" s="108">
        <f>IFERROR((INDEX(lifespans_all!T$49:T$56,MATCH($B48,lifespans_all!$B$49:$B$56,0))*SR_mission_minutes!T48)*POWER(1+(Historical_Cost!$C$88/100),T$1-2021),"-")</f>
        <v>0</v>
      </c>
      <c r="U48" s="108">
        <f>IFERROR((INDEX(lifespans_all!U$49:U$56,MATCH($B48,lifespans_all!$B$49:$B$56,0))*SR_mission_minutes!U48)*POWER(1+(Historical_Cost!$C$88/100),U$1-2021),"-")</f>
        <v>0</v>
      </c>
      <c r="V48" s="108">
        <f>IFERROR((INDEX(lifespans_all!V$49:V$56,MATCH($B48,lifespans_all!$B$49:$B$56,0))*SR_mission_minutes!V48)*POWER(1+(Historical_Cost!$C$88/100),V$1-2021),"-")</f>
        <v>0</v>
      </c>
    </row>
    <row r="49" spans="1:22" x14ac:dyDescent="0.25">
      <c r="A49" s="24" t="s">
        <v>88</v>
      </c>
      <c r="B49" s="23" t="s">
        <v>81</v>
      </c>
      <c r="C49" s="108" t="str">
        <f>IFERROR((INDEX(lifespans_all!C$49:C$56,MATCH($B49,lifespans_all!$B$49:$B$56,0))*SR_mission_minutes!C49)*POWER(1+(Historical_Cost!$C$88/100),C$1-2021),"-")</f>
        <v>-</v>
      </c>
      <c r="D49" s="108" t="str">
        <f>IFERROR((INDEX(lifespans_all!D$49:D$56,MATCH($B49,lifespans_all!$B$49:$B$56,0))*SR_mission_minutes!D49)*POWER(1+(Historical_Cost!$C$88/100),D$1-2021),"-")</f>
        <v>-</v>
      </c>
      <c r="E49" s="108" t="str">
        <f>IFERROR((INDEX(lifespans_all!E$49:E$56,MATCH($B49,lifespans_all!$B$49:$B$56,0))*SR_mission_minutes!E49)*POWER(1+(Historical_Cost!$C$88/100),E$1-2021),"-")</f>
        <v>-</v>
      </c>
      <c r="F49" s="108" t="str">
        <f>IFERROR((INDEX(lifespans_all!F$49:F$56,MATCH($B49,lifespans_all!$B$49:$B$56,0))*SR_mission_minutes!F49)*POWER(1+(Historical_Cost!$C$88/100),F$1-2021),"-")</f>
        <v>-</v>
      </c>
      <c r="G49" s="108" t="str">
        <f>IFERROR((INDEX(lifespans_all!G$49:G$56,MATCH($B49,lifespans_all!$B$49:$B$56,0))*SR_mission_minutes!G49)*POWER(1+(Historical_Cost!$C$88/100),G$1-2021),"-")</f>
        <v>-</v>
      </c>
      <c r="H49" s="108" t="str">
        <f>IFERROR((INDEX(lifespans_all!H$49:H$56,MATCH($B49,lifespans_all!$B$49:$B$56,0))*SR_mission_minutes!H49)*POWER(1+(Historical_Cost!$C$88/100),H$1-2021),"-")</f>
        <v>-</v>
      </c>
      <c r="I49" s="108" t="str">
        <f>IFERROR((INDEX(lifespans_all!I$49:I$56,MATCH($B49,lifespans_all!$B$49:$B$56,0))*SR_mission_minutes!I49)*POWER(1+(Historical_Cost!$C$88/100),I$1-2021),"-")</f>
        <v>-</v>
      </c>
      <c r="J49" s="108" t="str">
        <f>IFERROR((INDEX(lifespans_all!J$49:J$56,MATCH($B49,lifespans_all!$B$49:$B$56,0))*SR_mission_minutes!J49)*POWER(1+(Historical_Cost!$C$88/100),J$1-2021),"-")</f>
        <v>-</v>
      </c>
      <c r="K49" s="108" t="str">
        <f>IFERROR((INDEX(lifespans_all!K$49:K$56,MATCH($B49,lifespans_all!$B$49:$B$56,0))*SR_mission_minutes!K49)*POWER(1+(Historical_Cost!$C$88/100),K$1-2021),"-")</f>
        <v>-</v>
      </c>
      <c r="L49" s="108" t="str">
        <f>IFERROR((INDEX(lifespans_all!L$49:L$56,MATCH($B49,lifespans_all!$B$49:$B$56,0))*SR_mission_minutes!L49)*POWER(1+(Historical_Cost!$C$88/100),L$1-2021),"-")</f>
        <v>-</v>
      </c>
      <c r="M49" s="108" t="str">
        <f>IFERROR((INDEX(lifespans_all!M$49:M$56,MATCH($B49,lifespans_all!$B$49:$B$56,0))*SR_mission_minutes!M49)*POWER(1+(Historical_Cost!$C$88/100),M$1-2021),"-")</f>
        <v>-</v>
      </c>
      <c r="N49" s="108" t="str">
        <f>IFERROR((INDEX(lifespans_all!N$49:N$56,MATCH($B49,lifespans_all!$B$49:$B$56,0))*SR_mission_minutes!N49)*POWER(1+(Historical_Cost!$C$88/100),N$1-2021),"-")</f>
        <v>-</v>
      </c>
      <c r="O49" s="108" t="str">
        <f>IFERROR((INDEX(lifespans_all!O$49:O$56,MATCH($B49,lifespans_all!$B$49:$B$56,0))*SR_mission_minutes!O49)*POWER(1+(Historical_Cost!$C$88/100),O$1-2021),"-")</f>
        <v>-</v>
      </c>
      <c r="P49" s="108" t="str">
        <f>IFERROR((INDEX(lifespans_all!P$49:P$56,MATCH($B49,lifespans_all!$B$49:$B$56,0))*SR_mission_minutes!P49)*POWER(1+(Historical_Cost!$C$88/100),P$1-2021),"-")</f>
        <v>-</v>
      </c>
      <c r="Q49" s="108" t="str">
        <f>IFERROR((INDEX(lifespans_all!Q$49:Q$56,MATCH($B49,lifespans_all!$B$49:$B$56,0))*SR_mission_minutes!Q49)*POWER(1+(Historical_Cost!$C$88/100),Q$1-2021),"-")</f>
        <v>-</v>
      </c>
      <c r="R49" s="108" t="str">
        <f>IFERROR((INDEX(lifespans_all!R$49:R$56,MATCH($B49,lifespans_all!$B$49:$B$56,0))*SR_mission_minutes!R49)*POWER(1+(Historical_Cost!$C$88/100),R$1-2021),"-")</f>
        <v>-</v>
      </c>
      <c r="S49" s="108" t="str">
        <f>IFERROR((INDEX(lifespans_all!S$49:S$56,MATCH($B49,lifespans_all!$B$49:$B$56,0))*SR_mission_minutes!S49)*POWER(1+(Historical_Cost!$C$88/100),S$1-2021),"-")</f>
        <v>-</v>
      </c>
      <c r="T49" s="108" t="str">
        <f>IFERROR((INDEX(lifespans_all!T$49:T$56,MATCH($B49,lifespans_all!$B$49:$B$56,0))*SR_mission_minutes!T49)*POWER(1+(Historical_Cost!$C$88/100),T$1-2021),"-")</f>
        <v>-</v>
      </c>
      <c r="U49" s="108" t="str">
        <f>IFERROR((INDEX(lifespans_all!U$49:U$56,MATCH($B49,lifespans_all!$B$49:$B$56,0))*SR_mission_minutes!U49)*POWER(1+(Historical_Cost!$C$88/100),U$1-2021),"-")</f>
        <v>-</v>
      </c>
      <c r="V49" s="108" t="str">
        <f>IFERROR((INDEX(lifespans_all!V$49:V$56,MATCH($B49,lifespans_all!$B$49:$B$56,0))*SR_mission_minutes!V49)*POWER(1+(Historical_Cost!$C$88/100),V$1-2021),"-")</f>
        <v>-</v>
      </c>
    </row>
    <row r="50" spans="1:22" x14ac:dyDescent="0.25">
      <c r="A50" s="24" t="s">
        <v>88</v>
      </c>
      <c r="B50" s="23" t="s">
        <v>42</v>
      </c>
      <c r="C50" s="108" t="str">
        <f>IFERROR((INDEX(lifespans_all!C$49:C$56,MATCH($B50,lifespans_all!$B$49:$B$56,0))*SR_mission_minutes!C50)*POWER(1+(Historical_Cost!$C$88/100),C$1-2021),"-")</f>
        <v>-</v>
      </c>
      <c r="D50" s="108" t="str">
        <f>IFERROR((INDEX(lifespans_all!D$49:D$56,MATCH($B50,lifespans_all!$B$49:$B$56,0))*SR_mission_minutes!D50)*POWER(1+(Historical_Cost!$C$88/100),D$1-2021),"-")</f>
        <v>-</v>
      </c>
      <c r="E50" s="108" t="str">
        <f>IFERROR((INDEX(lifespans_all!E$49:E$56,MATCH($B50,lifespans_all!$B$49:$B$56,0))*SR_mission_minutes!E50)*POWER(1+(Historical_Cost!$C$88/100),E$1-2021),"-")</f>
        <v>-</v>
      </c>
      <c r="F50" s="108" t="str">
        <f>IFERROR((INDEX(lifespans_all!F$49:F$56,MATCH($B50,lifespans_all!$B$49:$B$56,0))*SR_mission_minutes!F50)*POWER(1+(Historical_Cost!$C$88/100),F$1-2021),"-")</f>
        <v>-</v>
      </c>
      <c r="G50" s="108" t="str">
        <f>IFERROR((INDEX(lifespans_all!G$49:G$56,MATCH($B50,lifespans_all!$B$49:$B$56,0))*SR_mission_minutes!G50)*POWER(1+(Historical_Cost!$C$88/100),G$1-2021),"-")</f>
        <v>-</v>
      </c>
      <c r="H50" s="108" t="str">
        <f>IFERROR((INDEX(lifespans_all!H$49:H$56,MATCH($B50,lifespans_all!$B$49:$B$56,0))*SR_mission_minutes!H50)*POWER(1+(Historical_Cost!$C$88/100),H$1-2021),"-")</f>
        <v>-</v>
      </c>
      <c r="I50" s="108" t="str">
        <f>IFERROR((INDEX(lifespans_all!I$49:I$56,MATCH($B50,lifespans_all!$B$49:$B$56,0))*SR_mission_minutes!I50)*POWER(1+(Historical_Cost!$C$88/100),I$1-2021),"-")</f>
        <v>-</v>
      </c>
      <c r="J50" s="108" t="str">
        <f>IFERROR((INDEX(lifespans_all!J$49:J$56,MATCH($B50,lifespans_all!$B$49:$B$56,0))*SR_mission_minutes!J50)*POWER(1+(Historical_Cost!$C$88/100),J$1-2021),"-")</f>
        <v>-</v>
      </c>
      <c r="K50" s="108" t="str">
        <f>IFERROR((INDEX(lifespans_all!K$49:K$56,MATCH($B50,lifespans_all!$B$49:$B$56,0))*SR_mission_minutes!K50)*POWER(1+(Historical_Cost!$C$88/100),K$1-2021),"-")</f>
        <v>-</v>
      </c>
      <c r="L50" s="108" t="str">
        <f>IFERROR((INDEX(lifespans_all!L$49:L$56,MATCH($B50,lifespans_all!$B$49:$B$56,0))*SR_mission_minutes!L50)*POWER(1+(Historical_Cost!$C$88/100),L$1-2021),"-")</f>
        <v>-</v>
      </c>
      <c r="M50" s="108" t="str">
        <f>IFERROR((INDEX(lifespans_all!M$49:M$56,MATCH($B50,lifespans_all!$B$49:$B$56,0))*SR_mission_minutes!M50)*POWER(1+(Historical_Cost!$C$88/100),M$1-2021),"-")</f>
        <v>-</v>
      </c>
      <c r="N50" s="108" t="str">
        <f>IFERROR((INDEX(lifespans_all!N$49:N$56,MATCH($B50,lifespans_all!$B$49:$B$56,0))*SR_mission_minutes!N50)*POWER(1+(Historical_Cost!$C$88/100),N$1-2021),"-")</f>
        <v>-</v>
      </c>
      <c r="O50" s="108" t="str">
        <f>IFERROR((INDEX(lifespans_all!O$49:O$56,MATCH($B50,lifespans_all!$B$49:$B$56,0))*SR_mission_minutes!O50)*POWER(1+(Historical_Cost!$C$88/100),O$1-2021),"-")</f>
        <v>-</v>
      </c>
      <c r="P50" s="108" t="str">
        <f>IFERROR((INDEX(lifespans_all!P$49:P$56,MATCH($B50,lifespans_all!$B$49:$B$56,0))*SR_mission_minutes!P50)*POWER(1+(Historical_Cost!$C$88/100),P$1-2021),"-")</f>
        <v>-</v>
      </c>
      <c r="Q50" s="108" t="str">
        <f>IFERROR((INDEX(lifespans_all!Q$49:Q$56,MATCH($B50,lifespans_all!$B$49:$B$56,0))*SR_mission_minutes!Q50)*POWER(1+(Historical_Cost!$C$88/100),Q$1-2021),"-")</f>
        <v>-</v>
      </c>
      <c r="R50" s="108" t="str">
        <f>IFERROR((INDEX(lifespans_all!R$49:R$56,MATCH($B50,lifespans_all!$B$49:$B$56,0))*SR_mission_minutes!R50)*POWER(1+(Historical_Cost!$C$88/100),R$1-2021),"-")</f>
        <v>-</v>
      </c>
      <c r="S50" s="108" t="str">
        <f>IFERROR((INDEX(lifespans_all!S$49:S$56,MATCH($B50,lifespans_all!$B$49:$B$56,0))*SR_mission_minutes!S50)*POWER(1+(Historical_Cost!$C$88/100),S$1-2021),"-")</f>
        <v>-</v>
      </c>
      <c r="T50" s="108" t="str">
        <f>IFERROR((INDEX(lifespans_all!T$49:T$56,MATCH($B50,lifespans_all!$B$49:$B$56,0))*SR_mission_minutes!T50)*POWER(1+(Historical_Cost!$C$88/100),T$1-2021),"-")</f>
        <v>-</v>
      </c>
      <c r="U50" s="108" t="str">
        <f>IFERROR((INDEX(lifespans_all!U$49:U$56,MATCH($B50,lifespans_all!$B$49:$B$56,0))*SR_mission_minutes!U50)*POWER(1+(Historical_Cost!$C$88/100),U$1-2021),"-")</f>
        <v>-</v>
      </c>
      <c r="V50" s="108" t="str">
        <f>IFERROR((INDEX(lifespans_all!V$49:V$56,MATCH($B50,lifespans_all!$B$49:$B$56,0))*SR_mission_minutes!V50)*POWER(1+(Historical_Cost!$C$88/100),V$1-2021),"-")</f>
        <v>-</v>
      </c>
    </row>
    <row r="51" spans="1:22" x14ac:dyDescent="0.25">
      <c r="A51" s="24" t="s">
        <v>88</v>
      </c>
      <c r="B51" s="23" t="s">
        <v>45</v>
      </c>
      <c r="C51" s="108">
        <f>IFERROR((INDEX(lifespans_all!C$49:C$56,MATCH($B51,lifespans_all!$B$49:$B$56,0))*SR_mission_minutes!C51)*POWER(1+(Historical_Cost!$C$88/100),C$1-2021),"-")</f>
        <v>-10121.800000000001</v>
      </c>
      <c r="D51" s="108">
        <f>IFERROR((INDEX(lifespans_all!D$49:D$56,MATCH($B51,lifespans_all!$B$49:$B$56,0))*SR_mission_minutes!D51)*POWER(1+(Historical_Cost!$C$88/100),D$1-2021),"-")</f>
        <v>13765.648000000003</v>
      </c>
      <c r="E51" s="108">
        <f>IFERROR((INDEX(lifespans_all!E$49:E$56,MATCH($B51,lifespans_all!$B$49:$B$56,0))*SR_mission_minutes!E51)*POWER(1+(Historical_Cost!$C$88/100),E$1-2021),"-")</f>
        <v>3510.2402400000033</v>
      </c>
      <c r="F51" s="108">
        <f>IFERROR((INDEX(lifespans_all!F$49:F$56,MATCH($B51,lifespans_all!$B$49:$B$56,0))*SR_mission_minutes!F51)*POWER(1+(Historical_Cost!$C$88/100),F$1-2021),"-")</f>
        <v>-7160.8900895999986</v>
      </c>
      <c r="G51" s="108">
        <f>IFERROR((INDEX(lifespans_all!G$49:G$56,MATCH($B51,lifespans_all!$B$49:$B$56,0))*SR_mission_minutes!G51)*POWER(1+(Historical_Cost!$C$88/100),G$1-2021),"-")</f>
        <v>-18260.269728480002</v>
      </c>
      <c r="H51" s="108">
        <f>IFERROR((INDEX(lifespans_all!H$49:H$56,MATCH($B51,lifespans_all!$B$49:$B$56,0))*SR_mission_minutes!H51)*POWER(1+(Historical_Cost!$C$88/100),H$1-2021),"-")</f>
        <v>7450.1900492198392</v>
      </c>
      <c r="I51" s="108">
        <f>IFERROR((INDEX(lifespans_all!I$49:I$56,MATCH($B51,lifespans_all!$B$49:$B$56,0))*SR_mission_minutes!I51)*POWER(1+(Historical_Cost!$C$88/100),I$1-2021),"-")</f>
        <v>-3799.5969251021224</v>
      </c>
      <c r="J51" s="108">
        <f>IFERROR((INDEX(lifespans_all!J$49:J$56,MATCH($B51,lifespans_all!$B$49:$B$56,0))*SR_mission_minutes!J51)*POWER(1+(Historical_Cost!$C$88/100),J$1-2021),"-")</f>
        <v>-15502.355454416638</v>
      </c>
      <c r="K51" s="108">
        <f>IFERROR((INDEX(lifespans_all!K$49:K$56,MATCH($B51,lifespans_all!$B$49:$B$56,0))*SR_mission_minutes!K51)*POWER(1+(Historical_Cost!$C$88/100),K$1-2021),"-")</f>
        <v>-27671.704486133698</v>
      </c>
      <c r="L51" s="108">
        <f>IFERROR((INDEX(lifespans_all!L$49:L$56,MATCH($B51,lifespans_all!$B$49:$B$56,0))*SR_mission_minutes!L51)*POWER(1+(Historical_Cost!$C$88/100),L$1-2021),"-")</f>
        <v>-40321.626536937671</v>
      </c>
      <c r="M51" s="108">
        <f>IFERROR((INDEX(lifespans_all!M$49:M$56,MATCH($B51,lifespans_all!$B$49:$B$56,0))*SR_mission_minutes!M51)*POWER(1+(Historical_Cost!$C$88/100),M$1-2021),"-")</f>
        <v>-41128.059067676426</v>
      </c>
      <c r="N51" s="108">
        <f>IFERROR((INDEX(lifespans_all!N$49:N$56,MATCH($B51,lifespans_all!$B$49:$B$56,0))*SR_mission_minutes!N51)*POWER(1+(Historical_Cost!$C$88/100),N$1-2021),"-")</f>
        <v>-41950.620249029947</v>
      </c>
      <c r="O51" s="108">
        <f>IFERROR((INDEX(lifespans_all!O$49:O$56,MATCH($B51,lifespans_all!$B$49:$B$56,0))*SR_mission_minutes!O51)*POWER(1+(Historical_Cost!$C$88/100),O$1-2021),"-")</f>
        <v>-42789.632654010551</v>
      </c>
      <c r="P51" s="108">
        <f>IFERROR((INDEX(lifespans_all!P$49:P$56,MATCH($B51,lifespans_all!$B$49:$B$56,0))*SR_mission_minutes!P51)*POWER(1+(Historical_Cost!$C$88/100),P$1-2021),"-")</f>
        <v>-43645.425307090765</v>
      </c>
      <c r="Q51" s="108">
        <f>IFERROR((INDEX(lifespans_all!Q$49:Q$56,MATCH($B51,lifespans_all!$B$49:$B$56,0))*SR_mission_minutes!Q51)*POWER(1+(Historical_Cost!$C$88/100),Q$1-2021),"-")</f>
        <v>-44518.333813232581</v>
      </c>
      <c r="R51" s="108">
        <f>IFERROR((INDEX(lifespans_all!R$49:R$56,MATCH($B51,lifespans_all!$B$49:$B$56,0))*SR_mission_minutes!R51)*POWER(1+(Historical_Cost!$C$88/100),R$1-2021),"-")</f>
        <v>-45408.70048949722</v>
      </c>
      <c r="S51" s="108">
        <f>IFERROR((INDEX(lifespans_all!S$49:S$56,MATCH($B51,lifespans_all!$B$49:$B$56,0))*SR_mission_minutes!S51)*POWER(1+(Historical_Cost!$C$88/100),S$1-2021),"-")</f>
        <v>-46316.874499287173</v>
      </c>
      <c r="T51" s="108">
        <f>IFERROR((INDEX(lifespans_all!T$49:T$56,MATCH($B51,lifespans_all!$B$49:$B$56,0))*SR_mission_minutes!T51)*POWER(1+(Historical_Cost!$C$88/100),T$1-2021),"-")</f>
        <v>-47243.211989272917</v>
      </c>
      <c r="U51" s="108">
        <f>IFERROR((INDEX(lifespans_all!U$49:U$56,MATCH($B51,lifespans_all!$B$49:$B$56,0))*SR_mission_minutes!U51)*POWER(1+(Historical_Cost!$C$88/100),U$1-2021),"-")</f>
        <v>-48188.076229058373</v>
      </c>
      <c r="V51" s="108">
        <f>IFERROR((INDEX(lifespans_all!V$49:V$56,MATCH($B51,lifespans_all!$B$49:$B$56,0))*SR_mission_minutes!V51)*POWER(1+(Historical_Cost!$C$88/100),V$1-2021),"-")</f>
        <v>-49151.837753639542</v>
      </c>
    </row>
    <row r="52" spans="1:22" x14ac:dyDescent="0.25">
      <c r="A52" s="48"/>
      <c r="B52" s="48"/>
      <c r="C52" s="121"/>
      <c r="D52" s="2"/>
      <c r="E52" s="2"/>
      <c r="F52" s="2"/>
      <c r="G52" s="2"/>
      <c r="H52" s="2"/>
      <c r="I52" s="2"/>
      <c r="J52" s="2"/>
      <c r="K52" s="2"/>
      <c r="L52" s="2"/>
      <c r="M52" s="2"/>
      <c r="N52" s="2"/>
      <c r="O52" s="2"/>
      <c r="P52" s="2"/>
      <c r="Q52" s="2"/>
      <c r="R52" s="2"/>
      <c r="S52" s="2"/>
      <c r="T52" s="2"/>
      <c r="U52" s="2"/>
      <c r="V52" s="2"/>
    </row>
    <row r="53" spans="1:22" x14ac:dyDescent="0.25">
      <c r="A53" s="48"/>
      <c r="B53" s="48"/>
      <c r="C53" s="25">
        <f t="shared" ref="C53:U53" si="0">SUM(C2:C51)</f>
        <v>1588261.0174603176</v>
      </c>
      <c r="D53" s="25">
        <f t="shared" si="0"/>
        <v>1433535.3797460317</v>
      </c>
      <c r="E53" s="25">
        <f t="shared" si="0"/>
        <v>1414098.8453669841</v>
      </c>
      <c r="F53" s="25">
        <f t="shared" si="0"/>
        <v>1328611.1295116062</v>
      </c>
      <c r="G53" s="25">
        <f t="shared" si="0"/>
        <v>1281251.6419113867</v>
      </c>
      <c r="H53" s="25">
        <f t="shared" si="0"/>
        <v>1211579.459258246</v>
      </c>
      <c r="I53" s="25">
        <f t="shared" si="0"/>
        <v>1144157.6271911936</v>
      </c>
      <c r="J53" s="25">
        <f t="shared" si="0"/>
        <v>1072000.1631366783</v>
      </c>
      <c r="K53" s="25">
        <f t="shared" si="0"/>
        <v>979214.45144166297</v>
      </c>
      <c r="L53" s="25">
        <f t="shared" si="0"/>
        <v>882514.32870248111</v>
      </c>
      <c r="M53" s="25">
        <f t="shared" si="0"/>
        <v>1054068.4607812418</v>
      </c>
      <c r="N53" s="25">
        <f t="shared" si="0"/>
        <v>1066156.5355524218</v>
      </c>
      <c r="O53" s="25">
        <f t="shared" si="0"/>
        <v>1078486.3718190261</v>
      </c>
      <c r="P53" s="25">
        <f t="shared" si="0"/>
        <v>1091062.8048109619</v>
      </c>
      <c r="Q53" s="25">
        <f t="shared" si="0"/>
        <v>1103890.766462737</v>
      </c>
      <c r="R53" s="25">
        <f t="shared" si="0"/>
        <v>1116975.2873475472</v>
      </c>
      <c r="S53" s="25">
        <f t="shared" si="0"/>
        <v>1130321.4986500535</v>
      </c>
      <c r="T53" s="25">
        <f t="shared" si="0"/>
        <v>1143934.6341786105</v>
      </c>
      <c r="U53" s="25">
        <f t="shared" si="0"/>
        <v>1157820.0324177381</v>
      </c>
      <c r="V53" s="25">
        <f>SUM(V2:V51)</f>
        <v>1171983.1386216483</v>
      </c>
    </row>
    <row r="54" spans="1:22" ht="14.4" thickBot="1" x14ac:dyDescent="0.3">
      <c r="B54" s="2" t="s">
        <v>7</v>
      </c>
      <c r="C54" s="26"/>
      <c r="D54" s="26"/>
      <c r="E54" s="26"/>
      <c r="F54" s="26"/>
      <c r="G54" s="26"/>
      <c r="H54" s="26"/>
      <c r="I54" s="26"/>
      <c r="J54" s="26"/>
      <c r="K54" s="26"/>
      <c r="L54" s="2"/>
      <c r="M54" s="2"/>
      <c r="N54" s="26"/>
      <c r="O54" s="26"/>
      <c r="P54" s="26"/>
      <c r="Q54" s="26"/>
      <c r="R54" s="26"/>
      <c r="S54" s="26"/>
      <c r="T54" s="26"/>
      <c r="U54" s="26"/>
      <c r="V54" s="26"/>
    </row>
    <row r="55" spans="1:22" x14ac:dyDescent="0.25">
      <c r="B55" s="57" t="s">
        <v>82</v>
      </c>
      <c r="C55" s="78">
        <v>2021</v>
      </c>
      <c r="D55" s="79">
        <v>2022</v>
      </c>
      <c r="E55" s="78">
        <v>2023</v>
      </c>
      <c r="F55" s="79">
        <v>2024</v>
      </c>
      <c r="G55" s="78">
        <v>2025</v>
      </c>
      <c r="H55" s="79">
        <v>2026</v>
      </c>
      <c r="I55" s="78">
        <v>2027</v>
      </c>
      <c r="J55" s="79">
        <v>2028</v>
      </c>
      <c r="K55" s="78">
        <v>2029</v>
      </c>
      <c r="L55" s="79">
        <v>2030</v>
      </c>
      <c r="M55" s="78">
        <v>2031</v>
      </c>
      <c r="N55" s="79">
        <v>2032</v>
      </c>
      <c r="O55" s="78">
        <v>2033</v>
      </c>
      <c r="P55" s="79">
        <v>2034</v>
      </c>
      <c r="Q55" s="78">
        <v>2035</v>
      </c>
      <c r="R55" s="79">
        <v>2036</v>
      </c>
      <c r="S55" s="78">
        <v>2037</v>
      </c>
      <c r="T55" s="79">
        <v>2038</v>
      </c>
      <c r="U55" s="78">
        <v>2039</v>
      </c>
      <c r="V55" s="79">
        <v>2040</v>
      </c>
    </row>
    <row r="56" spans="1:22" x14ac:dyDescent="0.25">
      <c r="B56" s="36" t="s">
        <v>43</v>
      </c>
      <c r="C56" s="81">
        <f>SUMIF($B2:$B51,$B56,C$2:C$51)</f>
        <v>402076.5</v>
      </c>
      <c r="D56" s="81">
        <f>SUMIF($B2:$B51,$B56,D$2:D$51)</f>
        <v>342339.42</v>
      </c>
      <c r="E56" s="81">
        <f>SUMIF($B2:$B51,$B56,E$2:E$51)</f>
        <v>280235.83259999997</v>
      </c>
      <c r="F56" s="81">
        <f>SUMIF($B2:$B51,$B56,F$2:F$51)</f>
        <v>215694.97233600001</v>
      </c>
      <c r="G56" s="81">
        <f>SUMIF($B2:$B51,$B56,G$2:G$51)</f>
        <v>148644.18972840003</v>
      </c>
      <c r="H56" s="81">
        <f t="shared" ref="H56:V56" si="1">SUMIF($B2:$B51,$B56,H$2:H$51)</f>
        <v>79008.904227561608</v>
      </c>
      <c r="I56" s="81">
        <f t="shared" si="1"/>
        <v>6712.556030798296</v>
      </c>
      <c r="J56" s="81">
        <f t="shared" si="1"/>
        <v>-68323.443255526479</v>
      </c>
      <c r="K56" s="81">
        <f t="shared" si="1"/>
        <v>-146179.76113571669</v>
      </c>
      <c r="L56" s="81">
        <f t="shared" si="1"/>
        <v>-226939.19595381222</v>
      </c>
      <c r="M56" s="81">
        <f t="shared" si="1"/>
        <v>-75473.579923733079</v>
      </c>
      <c r="N56" s="81">
        <f t="shared" si="1"/>
        <v>-83875.79152220767</v>
      </c>
      <c r="O56" s="81">
        <f t="shared" si="1"/>
        <v>-92446.047352651891</v>
      </c>
      <c r="P56" s="81">
        <f t="shared" si="1"/>
        <v>-101187.70829970494</v>
      </c>
      <c r="Q56" s="81">
        <f t="shared" si="1"/>
        <v>-110104.20246569905</v>
      </c>
      <c r="R56" s="81">
        <f t="shared" si="1"/>
        <v>-119199.0265150129</v>
      </c>
      <c r="S56" s="81">
        <f t="shared" si="1"/>
        <v>-128475.74704531324</v>
      </c>
      <c r="T56" s="81">
        <f t="shared" si="1"/>
        <v>-137938.00198621955</v>
      </c>
      <c r="U56" s="81">
        <f t="shared" si="1"/>
        <v>-147589.50202594389</v>
      </c>
      <c r="V56" s="81">
        <f t="shared" si="1"/>
        <v>-157434.03206646274</v>
      </c>
    </row>
    <row r="57" spans="1:22" x14ac:dyDescent="0.25">
      <c r="B57" s="36" t="s">
        <v>41</v>
      </c>
      <c r="C57" s="81">
        <f>SUMIF($B2:$B51,$B57,C$2:C$51)</f>
        <v>1080935.4388888888</v>
      </c>
      <c r="D57" s="81">
        <f>SUMIF($B2:$B51,$B57,D$2:D$51)</f>
        <v>996092.54422222218</v>
      </c>
      <c r="E57" s="81">
        <f>SUMIF($B2:$B51,$B57,E$2:E$51)</f>
        <v>1046574.0665488889</v>
      </c>
      <c r="F57" s="81">
        <f>SUMIF($B2:$B51,$B57,F$2:F$51)</f>
        <v>1036418.959020711</v>
      </c>
      <c r="G57" s="81">
        <f>SUMIF($B2:$B51,$B57,G$2:G$51)</f>
        <v>1069594.6991159599</v>
      </c>
      <c r="H57" s="81">
        <f t="shared" ref="H57:V57" si="2">SUMIF($B2:$B51,$B57,H$2:H$51)</f>
        <v>1077714.4275647439</v>
      </c>
      <c r="I57" s="81">
        <f t="shared" si="2"/>
        <v>1093975.2753384996</v>
      </c>
      <c r="J57" s="81">
        <f t="shared" si="2"/>
        <v>1108702.206997768</v>
      </c>
      <c r="K57" s="81">
        <f t="shared" si="2"/>
        <v>1106097.2024524962</v>
      </c>
      <c r="L57" s="81">
        <f t="shared" si="2"/>
        <v>1102971.1969981694</v>
      </c>
      <c r="M57" s="81">
        <f t="shared" si="2"/>
        <v>1123696.6131603552</v>
      </c>
      <c r="N57" s="81">
        <f t="shared" si="2"/>
        <v>1144836.5376457842</v>
      </c>
      <c r="O57" s="81">
        <f t="shared" si="2"/>
        <v>1166399.2606209223</v>
      </c>
      <c r="P57" s="81">
        <f t="shared" si="2"/>
        <v>1188393.2380555631</v>
      </c>
      <c r="Q57" s="81">
        <f t="shared" si="2"/>
        <v>1210827.0950388967</v>
      </c>
      <c r="R57" s="81">
        <f t="shared" si="2"/>
        <v>1233709.6291618964</v>
      </c>
      <c r="S57" s="81">
        <f t="shared" si="2"/>
        <v>1257049.8139673567</v>
      </c>
      <c r="T57" s="81">
        <f t="shared" si="2"/>
        <v>1280856.8024689262</v>
      </c>
      <c r="U57" s="81">
        <f t="shared" si="2"/>
        <v>1305139.9307405269</v>
      </c>
      <c r="V57" s="81">
        <f t="shared" si="2"/>
        <v>1329908.7215775596</v>
      </c>
    </row>
    <row r="58" spans="1:22" x14ac:dyDescent="0.25">
      <c r="B58" s="36" t="s">
        <v>40</v>
      </c>
      <c r="C58" s="81">
        <f>SUMIF($B2:$B51,$B58,C$2:C$51)</f>
        <v>6856.4285714285716</v>
      </c>
      <c r="D58" s="81">
        <f>SUMIF($B2:$B51,$B58,D$2:D$51)</f>
        <v>6610.5428571428574</v>
      </c>
      <c r="E58" s="81">
        <f>SUMIF($B2:$B51,$B58,E$2:E$51)</f>
        <v>9101.2705714285712</v>
      </c>
      <c r="F58" s="81">
        <f>SUMIF($B2:$B51,$B58,F$2:F$51)</f>
        <v>9032.3960914285708</v>
      </c>
      <c r="G58" s="81">
        <f>SUMIF($B2:$B51,$B58,G$2:G$51)</f>
        <v>8957.1261240000003</v>
      </c>
      <c r="H58" s="81">
        <f t="shared" ref="H58:V58" si="3">SUMIF($B2:$B51,$B58,H$2:H$51)</f>
        <v>8875.2323994377148</v>
      </c>
      <c r="I58" s="81">
        <f t="shared" si="3"/>
        <v>8786.4800754433381</v>
      </c>
      <c r="J58" s="81">
        <f t="shared" si="3"/>
        <v>8690.6275655294085</v>
      </c>
      <c r="K58" s="81">
        <f t="shared" si="3"/>
        <v>8587.4263631887479</v>
      </c>
      <c r="L58" s="81">
        <f t="shared" si="3"/>
        <v>8476.6208617282482</v>
      </c>
      <c r="M58" s="81">
        <f t="shared" si="3"/>
        <v>8646.1532789628127</v>
      </c>
      <c r="N58" s="81">
        <f t="shared" si="3"/>
        <v>8819.0763445420671</v>
      </c>
      <c r="O58" s="81">
        <f t="shared" si="3"/>
        <v>8995.4578714329109</v>
      </c>
      <c r="P58" s="81">
        <f t="shared" si="3"/>
        <v>9175.3670288615685</v>
      </c>
      <c r="Q58" s="81">
        <f t="shared" si="3"/>
        <v>9358.8743694388013</v>
      </c>
      <c r="R58" s="81">
        <f t="shared" si="3"/>
        <v>9546.0518568275747</v>
      </c>
      <c r="S58" s="81">
        <f t="shared" si="3"/>
        <v>9736.9728939641263</v>
      </c>
      <c r="T58" s="81">
        <f t="shared" si="3"/>
        <v>9931.7123518434109</v>
      </c>
      <c r="U58" s="81">
        <f t="shared" si="3"/>
        <v>10130.346598880278</v>
      </c>
      <c r="V58" s="81">
        <f t="shared" si="3"/>
        <v>10332.953530857883</v>
      </c>
    </row>
    <row r="59" spans="1:22" x14ac:dyDescent="0.25">
      <c r="B59" s="36" t="s">
        <v>80</v>
      </c>
      <c r="C59" s="81">
        <f>SUMIF($B2:$B51,$B59,C$2:C$51)</f>
        <v>0</v>
      </c>
      <c r="D59" s="81">
        <f>SUMIF($B2:$B51,$B59,D$2:D$51)</f>
        <v>0</v>
      </c>
      <c r="E59" s="81">
        <f>SUMIF($B2:$B51,$B59,E$2:E$51)</f>
        <v>0</v>
      </c>
      <c r="F59" s="81">
        <f>SUMIF($B2:$B51,$B59,F$2:F$51)</f>
        <v>0</v>
      </c>
      <c r="G59" s="81">
        <f>SUMIF($B2:$B51,$B59,G$2:G$51)</f>
        <v>0</v>
      </c>
      <c r="H59" s="81">
        <f t="shared" ref="H59:V59" si="4">SUMIF($B2:$B51,$B59,H$2:H$51)</f>
        <v>0</v>
      </c>
      <c r="I59" s="81">
        <f t="shared" si="4"/>
        <v>0</v>
      </c>
      <c r="J59" s="81">
        <f t="shared" si="4"/>
        <v>0</v>
      </c>
      <c r="K59" s="81">
        <f t="shared" si="4"/>
        <v>0</v>
      </c>
      <c r="L59" s="81">
        <f t="shared" si="4"/>
        <v>0</v>
      </c>
      <c r="M59" s="81">
        <f t="shared" si="4"/>
        <v>0</v>
      </c>
      <c r="N59" s="81">
        <f t="shared" si="4"/>
        <v>0</v>
      </c>
      <c r="O59" s="81">
        <f t="shared" si="4"/>
        <v>0</v>
      </c>
      <c r="P59" s="81">
        <f t="shared" si="4"/>
        <v>0</v>
      </c>
      <c r="Q59" s="81">
        <f t="shared" si="4"/>
        <v>0</v>
      </c>
      <c r="R59" s="81">
        <f t="shared" si="4"/>
        <v>0</v>
      </c>
      <c r="S59" s="81">
        <f t="shared" si="4"/>
        <v>0</v>
      </c>
      <c r="T59" s="81">
        <f t="shared" si="4"/>
        <v>0</v>
      </c>
      <c r="U59" s="81">
        <f t="shared" si="4"/>
        <v>0</v>
      </c>
      <c r="V59" s="81">
        <f t="shared" si="4"/>
        <v>0</v>
      </c>
    </row>
    <row r="60" spans="1:22" x14ac:dyDescent="0.25">
      <c r="B60" s="36" t="s">
        <v>44</v>
      </c>
      <c r="C60" s="81">
        <f>SUMIF($B2:$B51,$B60,C$2:C$51)</f>
        <v>414.45</v>
      </c>
      <c r="D60" s="81">
        <f>SUMIF($B2:$B51,$B60,D$2:D$51)</f>
        <v>366.55799999999999</v>
      </c>
      <c r="E60" s="81">
        <f>SUMIF($B2:$B51,$B60,E$2:E$51)</f>
        <v>316.76873999999998</v>
      </c>
      <c r="F60" s="81">
        <f>SUMIF($B2:$B51,$B60,F$2:F$51)</f>
        <v>265.02548639999998</v>
      </c>
      <c r="G60" s="81">
        <f>SUMIF($B2:$B51,$B60,G$2:G$51)</f>
        <v>249.23000483999999</v>
      </c>
      <c r="H60" s="81">
        <f t="shared" ref="H60:V60" si="5">SUMIF($B2:$B51,$B60,H$2:H$51)</f>
        <v>203.37168394944001</v>
      </c>
      <c r="I60" s="81">
        <f t="shared" si="5"/>
        <v>155.57933822132165</v>
      </c>
      <c r="J60" s="81">
        <f t="shared" si="5"/>
        <v>105.79394999049872</v>
      </c>
      <c r="K60" s="81">
        <f t="shared" si="5"/>
        <v>53.954914495154377</v>
      </c>
      <c r="L60" s="81">
        <f t="shared" si="5"/>
        <v>0</v>
      </c>
      <c r="M60" s="81">
        <f t="shared" si="5"/>
        <v>0</v>
      </c>
      <c r="N60" s="81">
        <f t="shared" si="5"/>
        <v>0</v>
      </c>
      <c r="O60" s="81">
        <f t="shared" si="5"/>
        <v>0</v>
      </c>
      <c r="P60" s="81">
        <f t="shared" si="5"/>
        <v>0</v>
      </c>
      <c r="Q60" s="81">
        <f t="shared" si="5"/>
        <v>0</v>
      </c>
      <c r="R60" s="81">
        <f t="shared" si="5"/>
        <v>0</v>
      </c>
      <c r="S60" s="81">
        <f t="shared" si="5"/>
        <v>0</v>
      </c>
      <c r="T60" s="81">
        <f t="shared" si="5"/>
        <v>0</v>
      </c>
      <c r="U60" s="81">
        <f t="shared" si="5"/>
        <v>0</v>
      </c>
      <c r="V60" s="81">
        <f t="shared" si="5"/>
        <v>0</v>
      </c>
    </row>
    <row r="61" spans="1:22" x14ac:dyDescent="0.25">
      <c r="B61" s="36" t="s">
        <v>81</v>
      </c>
      <c r="C61" s="81">
        <f>SUMIF($B2:$B51,$B61,C$2:C$51)</f>
        <v>0</v>
      </c>
      <c r="D61" s="81">
        <f>SUMIF($B2:$B51,$B61,D$2:D$51)</f>
        <v>0</v>
      </c>
      <c r="E61" s="81">
        <f>SUMIF($B2:$B51,$B61,E$2:E$51)</f>
        <v>0</v>
      </c>
      <c r="F61" s="81">
        <f>SUMIF($B2:$B51,$B61,F$2:F$51)</f>
        <v>0</v>
      </c>
      <c r="G61" s="81">
        <f>SUMIF($B2:$B51,$B61,G$2:G$51)</f>
        <v>0</v>
      </c>
      <c r="H61" s="81">
        <f t="shared" ref="H61:V61" si="6">SUMIF($B2:$B51,$B61,H$2:H$51)</f>
        <v>0</v>
      </c>
      <c r="I61" s="81">
        <f t="shared" si="6"/>
        <v>0</v>
      </c>
      <c r="J61" s="81">
        <f t="shared" si="6"/>
        <v>0</v>
      </c>
      <c r="K61" s="81">
        <f t="shared" si="6"/>
        <v>0</v>
      </c>
      <c r="L61" s="81">
        <f t="shared" si="6"/>
        <v>0</v>
      </c>
      <c r="M61" s="81">
        <f t="shared" si="6"/>
        <v>0</v>
      </c>
      <c r="N61" s="81">
        <f t="shared" si="6"/>
        <v>0</v>
      </c>
      <c r="O61" s="81">
        <f t="shared" si="6"/>
        <v>0</v>
      </c>
      <c r="P61" s="81">
        <f t="shared" si="6"/>
        <v>0</v>
      </c>
      <c r="Q61" s="81">
        <f t="shared" si="6"/>
        <v>0</v>
      </c>
      <c r="R61" s="81">
        <f t="shared" si="6"/>
        <v>0</v>
      </c>
      <c r="S61" s="81">
        <f t="shared" si="6"/>
        <v>0</v>
      </c>
      <c r="T61" s="81">
        <f t="shared" si="6"/>
        <v>0</v>
      </c>
      <c r="U61" s="81">
        <f t="shared" si="6"/>
        <v>0</v>
      </c>
      <c r="V61" s="81">
        <f t="shared" si="6"/>
        <v>0</v>
      </c>
    </row>
    <row r="62" spans="1:22" x14ac:dyDescent="0.25">
      <c r="B62" s="36" t="s">
        <v>42</v>
      </c>
      <c r="C62" s="81">
        <f>SUMIF($B2:$B51,$B62,C$2:C$51)</f>
        <v>6882</v>
      </c>
      <c r="D62" s="81">
        <f>SUMIF($B2:$B51,$B62,D$2:D$51)</f>
        <v>6882</v>
      </c>
      <c r="E62" s="81">
        <f>SUMIF($B2:$B51,$B62,E$2:E$51)</f>
        <v>6882</v>
      </c>
      <c r="F62" s="81">
        <f>SUMIF($B2:$B51,$B62,F$2:F$51)</f>
        <v>6882</v>
      </c>
      <c r="G62" s="81">
        <f>SUMIF($B2:$B51,$B62,G$2:G$51)</f>
        <v>4588</v>
      </c>
      <c r="H62" s="81">
        <f t="shared" ref="H62:V62" si="7">SUMIF($B2:$B51,$B62,H$2:H$51)</f>
        <v>4588</v>
      </c>
      <c r="I62" s="81">
        <f t="shared" si="7"/>
        <v>4588</v>
      </c>
      <c r="J62" s="81">
        <f t="shared" si="7"/>
        <v>4588</v>
      </c>
      <c r="K62" s="81">
        <f t="shared" si="7"/>
        <v>4588</v>
      </c>
      <c r="L62" s="81">
        <f t="shared" si="7"/>
        <v>4588</v>
      </c>
      <c r="M62" s="81">
        <f t="shared" si="7"/>
        <v>4588</v>
      </c>
      <c r="N62" s="81">
        <f t="shared" si="7"/>
        <v>4588</v>
      </c>
      <c r="O62" s="81">
        <f t="shared" si="7"/>
        <v>4588</v>
      </c>
      <c r="P62" s="81">
        <f t="shared" si="7"/>
        <v>4588</v>
      </c>
      <c r="Q62" s="81">
        <f t="shared" si="7"/>
        <v>4588</v>
      </c>
      <c r="R62" s="81">
        <f t="shared" si="7"/>
        <v>4588</v>
      </c>
      <c r="S62" s="81">
        <f t="shared" si="7"/>
        <v>4588</v>
      </c>
      <c r="T62" s="81">
        <f t="shared" si="7"/>
        <v>4588</v>
      </c>
      <c r="U62" s="81">
        <f t="shared" si="7"/>
        <v>4588</v>
      </c>
      <c r="V62" s="81">
        <f t="shared" si="7"/>
        <v>4588</v>
      </c>
    </row>
    <row r="63" spans="1:22" ht="14.4" thickBot="1" x14ac:dyDescent="0.3">
      <c r="B63" s="42" t="s">
        <v>45</v>
      </c>
      <c r="C63" s="81">
        <f>SUMIF($B2:$B51,$B63,C$2:C$51)</f>
        <v>91096.2</v>
      </c>
      <c r="D63" s="81">
        <f>SUMIF($B2:$B51,$B63,D$2:D$51)</f>
        <v>81244.314666666673</v>
      </c>
      <c r="E63" s="81">
        <f>SUMIF($B2:$B51,$B63,E$2:E$51)</f>
        <v>70988.906906666671</v>
      </c>
      <c r="F63" s="81">
        <f>SUMIF($B2:$B51,$B63,F$2:F$51)</f>
        <v>60317.776577066674</v>
      </c>
      <c r="G63" s="81">
        <f>SUMIF($B2:$B51,$B63,G$2:G$51)</f>
        <v>49218.39693818667</v>
      </c>
      <c r="H63" s="81">
        <f t="shared" ref="H63:V63" si="8">SUMIF($B2:$B51,$B63,H$2:H$51)</f>
        <v>41189.523382553176</v>
      </c>
      <c r="I63" s="81">
        <f t="shared" si="8"/>
        <v>29939.736408231212</v>
      </c>
      <c r="J63" s="81">
        <f t="shared" si="8"/>
        <v>18236.977878916696</v>
      </c>
      <c r="K63" s="81">
        <f t="shared" si="8"/>
        <v>6067.6288471996377</v>
      </c>
      <c r="L63" s="81">
        <f t="shared" si="8"/>
        <v>-6582.2932036043348</v>
      </c>
      <c r="M63" s="81">
        <f t="shared" si="8"/>
        <v>-7388.7257343430902</v>
      </c>
      <c r="N63" s="81">
        <f t="shared" si="8"/>
        <v>-8211.2869156966117</v>
      </c>
      <c r="O63" s="81">
        <f t="shared" si="8"/>
        <v>-9050.2993206772153</v>
      </c>
      <c r="P63" s="81">
        <f t="shared" si="8"/>
        <v>-9906.0919737574295</v>
      </c>
      <c r="Q63" s="81">
        <f t="shared" si="8"/>
        <v>-10779.000479899245</v>
      </c>
      <c r="R63" s="81">
        <f t="shared" si="8"/>
        <v>-11669.367156163884</v>
      </c>
      <c r="S63" s="81">
        <f t="shared" si="8"/>
        <v>-12577.541165953837</v>
      </c>
      <c r="T63" s="81">
        <f t="shared" si="8"/>
        <v>-13503.878655939581</v>
      </c>
      <c r="U63" s="81">
        <f t="shared" si="8"/>
        <v>-14448.742895725038</v>
      </c>
      <c r="V63" s="81">
        <f t="shared" si="8"/>
        <v>-15412.504420306206</v>
      </c>
    </row>
    <row r="64" spans="1:22" x14ac:dyDescent="0.25">
      <c r="C64" s="26"/>
      <c r="D64" s="26"/>
      <c r="E64" s="26"/>
      <c r="F64" s="26"/>
      <c r="G64" s="26"/>
      <c r="H64" s="26"/>
      <c r="I64" s="26"/>
      <c r="J64" s="26"/>
      <c r="K64" s="26"/>
      <c r="L64" s="27"/>
      <c r="M64" s="26"/>
      <c r="N64" s="26"/>
      <c r="O64" s="26"/>
      <c r="P64" s="26"/>
      <c r="Q64" s="26"/>
      <c r="R64" s="26"/>
      <c r="S64" s="26"/>
      <c r="T64" s="26"/>
      <c r="U64" s="26"/>
      <c r="V64" s="26"/>
    </row>
    <row r="65" spans="1:22" x14ac:dyDescent="0.25">
      <c r="C65" s="26">
        <f>SUM(C56:C63)</f>
        <v>1588261.0174603174</v>
      </c>
      <c r="D65" s="26">
        <f t="shared" ref="D65:U65" si="9">SUM(D56:D63)</f>
        <v>1433535.3797460315</v>
      </c>
      <c r="E65" s="26">
        <f t="shared" si="9"/>
        <v>1414098.8453669841</v>
      </c>
      <c r="F65" s="26">
        <f t="shared" si="9"/>
        <v>1328611.1295116062</v>
      </c>
      <c r="G65" s="26">
        <f t="shared" si="9"/>
        <v>1281251.6419113865</v>
      </c>
      <c r="H65" s="26">
        <f t="shared" si="9"/>
        <v>1211579.4592582458</v>
      </c>
      <c r="I65" s="26">
        <f t="shared" si="9"/>
        <v>1144157.6271911939</v>
      </c>
      <c r="J65" s="26">
        <f t="shared" si="9"/>
        <v>1072000.1631366783</v>
      </c>
      <c r="K65" s="26">
        <f t="shared" si="9"/>
        <v>979214.45144166297</v>
      </c>
      <c r="L65" s="27">
        <f t="shared" si="9"/>
        <v>882514.32870248111</v>
      </c>
      <c r="M65" s="26">
        <f t="shared" si="9"/>
        <v>1054068.4607812418</v>
      </c>
      <c r="N65" s="26">
        <f t="shared" si="9"/>
        <v>1066156.5355524218</v>
      </c>
      <c r="O65" s="26">
        <f t="shared" si="9"/>
        <v>1078486.3718190261</v>
      </c>
      <c r="P65" s="26">
        <f t="shared" si="9"/>
        <v>1091062.8048109624</v>
      </c>
      <c r="Q65" s="26">
        <f t="shared" si="9"/>
        <v>1103890.766462737</v>
      </c>
      <c r="R65" s="26">
        <f t="shared" si="9"/>
        <v>1116975.2873475475</v>
      </c>
      <c r="S65" s="26">
        <f t="shared" si="9"/>
        <v>1130321.4986500537</v>
      </c>
      <c r="T65" s="26">
        <f t="shared" si="9"/>
        <v>1143934.6341786105</v>
      </c>
      <c r="U65" s="26">
        <f t="shared" si="9"/>
        <v>1157820.0324177383</v>
      </c>
      <c r="V65" s="26">
        <f>SUM(V56:V63)</f>
        <v>1171983.1386216483</v>
      </c>
    </row>
    <row r="66" spans="1:22" x14ac:dyDescent="0.25">
      <c r="C66" s="26"/>
      <c r="D66" s="26"/>
      <c r="E66" s="26"/>
      <c r="F66" s="26"/>
      <c r="G66" s="26"/>
      <c r="H66" s="26"/>
      <c r="I66" s="26"/>
      <c r="J66" s="26"/>
      <c r="K66" s="26"/>
      <c r="L66" s="27"/>
      <c r="M66" s="2"/>
      <c r="N66" s="26"/>
      <c r="O66" s="26"/>
      <c r="P66" s="26"/>
      <c r="Q66" s="26"/>
      <c r="R66" s="26"/>
      <c r="S66" s="26"/>
      <c r="T66" s="26"/>
      <c r="U66" s="26"/>
      <c r="V66" s="26"/>
    </row>
    <row r="67" spans="1:22" ht="14.4" thickBot="1" x14ac:dyDescent="0.3">
      <c r="B67" s="2" t="s">
        <v>7</v>
      </c>
      <c r="C67" s="26"/>
      <c r="D67" s="26"/>
      <c r="E67" s="26"/>
      <c r="F67" s="26"/>
      <c r="G67" s="26"/>
      <c r="H67" s="26"/>
      <c r="I67" s="26"/>
      <c r="J67" s="26"/>
      <c r="K67" s="26"/>
      <c r="L67" s="27"/>
      <c r="M67" s="2"/>
      <c r="N67" s="26"/>
      <c r="O67" s="26"/>
      <c r="P67" s="26"/>
      <c r="Q67" s="26"/>
      <c r="R67" s="26"/>
      <c r="S67" s="26"/>
      <c r="T67" s="26"/>
      <c r="U67" s="26"/>
      <c r="V67" s="26"/>
    </row>
    <row r="68" spans="1:22" x14ac:dyDescent="0.25">
      <c r="B68" s="57" t="s">
        <v>82</v>
      </c>
      <c r="C68" s="78">
        <v>2021</v>
      </c>
      <c r="D68" s="78">
        <v>2022</v>
      </c>
      <c r="E68" s="78">
        <v>2023</v>
      </c>
      <c r="F68" s="78">
        <v>2024</v>
      </c>
      <c r="G68" s="78">
        <v>2025</v>
      </c>
      <c r="H68" s="78">
        <v>2026</v>
      </c>
      <c r="I68" s="78">
        <v>2027</v>
      </c>
      <c r="J68" s="78">
        <v>2028</v>
      </c>
      <c r="K68" s="78">
        <v>2029</v>
      </c>
      <c r="L68" s="78">
        <v>2030</v>
      </c>
      <c r="M68" s="78">
        <v>2031</v>
      </c>
      <c r="N68" s="78">
        <v>2032</v>
      </c>
      <c r="O68" s="78">
        <v>2033</v>
      </c>
      <c r="P68" s="78">
        <v>2034</v>
      </c>
      <c r="Q68" s="78">
        <v>2035</v>
      </c>
      <c r="R68" s="78">
        <v>2036</v>
      </c>
      <c r="S68" s="78">
        <v>2037</v>
      </c>
      <c r="T68" s="78">
        <v>2038</v>
      </c>
      <c r="U68" s="78">
        <v>2039</v>
      </c>
      <c r="V68" s="78">
        <v>2040</v>
      </c>
    </row>
    <row r="69" spans="1:22" x14ac:dyDescent="0.25">
      <c r="B69" s="36" t="s">
        <v>95</v>
      </c>
      <c r="C69" s="28">
        <f>SUM(C2:C43)</f>
        <v>1676114.912698413</v>
      </c>
      <c r="D69" s="28">
        <f t="shared" ref="D69:V69" si="10">SUM(D2:D43)</f>
        <v>1442274.4126984125</v>
      </c>
      <c r="E69" s="28">
        <f t="shared" si="10"/>
        <v>1435181.5555555555</v>
      </c>
      <c r="F69" s="28">
        <f t="shared" si="10"/>
        <v>1301780.7777777778</v>
      </c>
      <c r="G69" s="28">
        <f t="shared" si="10"/>
        <v>1131886.1666666667</v>
      </c>
      <c r="H69" s="28">
        <f t="shared" si="10"/>
        <v>898045.66666666674</v>
      </c>
      <c r="I69" s="28">
        <f t="shared" si="10"/>
        <v>697944.49999999988</v>
      </c>
      <c r="J69" s="28">
        <f t="shared" si="10"/>
        <v>564543.72222222225</v>
      </c>
      <c r="K69" s="28">
        <f t="shared" si="10"/>
        <v>564543.72222222225</v>
      </c>
      <c r="L69" s="28">
        <f t="shared" si="10"/>
        <v>564543.72222222225</v>
      </c>
      <c r="M69" s="28">
        <f t="shared" si="10"/>
        <v>449664.72222222225</v>
      </c>
      <c r="N69" s="28">
        <f t="shared" si="10"/>
        <v>449664.72222222225</v>
      </c>
      <c r="O69" s="28">
        <f t="shared" si="10"/>
        <v>449664.72222222225</v>
      </c>
      <c r="P69" s="28">
        <f t="shared" si="10"/>
        <v>449664.72222222225</v>
      </c>
      <c r="Q69" s="28">
        <f t="shared" si="10"/>
        <v>449664.72222222225</v>
      </c>
      <c r="R69" s="28">
        <f t="shared" si="10"/>
        <v>449664.72222222225</v>
      </c>
      <c r="S69" s="28">
        <f t="shared" si="10"/>
        <v>449664.72222222225</v>
      </c>
      <c r="T69" s="28">
        <f t="shared" si="10"/>
        <v>449664.72222222225</v>
      </c>
      <c r="U69" s="28">
        <f t="shared" si="10"/>
        <v>449664.72222222225</v>
      </c>
      <c r="V69" s="28">
        <f t="shared" si="10"/>
        <v>449664.72222222225</v>
      </c>
    </row>
    <row r="70" spans="1:22" x14ac:dyDescent="0.25">
      <c r="B70" s="36" t="s">
        <v>96</v>
      </c>
      <c r="C70" s="28">
        <f>SUM(C44:C51)</f>
        <v>-87853.89523809524</v>
      </c>
      <c r="D70" s="28">
        <f t="shared" ref="D70:V70" si="11">SUM(D44:D51)</f>
        <v>-8739.0329523809542</v>
      </c>
      <c r="E70" s="28">
        <f t="shared" si="11"/>
        <v>-21082.710188571418</v>
      </c>
      <c r="F70" s="28">
        <f t="shared" si="11"/>
        <v>26830.351733828531</v>
      </c>
      <c r="G70" s="28">
        <f t="shared" si="11"/>
        <v>149365.47524472009</v>
      </c>
      <c r="H70" s="28">
        <f t="shared" si="11"/>
        <v>313533.7925915792</v>
      </c>
      <c r="I70" s="28">
        <f t="shared" si="11"/>
        <v>446213.12719119381</v>
      </c>
      <c r="J70" s="28">
        <f t="shared" si="11"/>
        <v>507456.44091445592</v>
      </c>
      <c r="K70" s="28">
        <f t="shared" si="11"/>
        <v>414670.72921944072</v>
      </c>
      <c r="L70" s="28">
        <f t="shared" si="11"/>
        <v>317970.60648025892</v>
      </c>
      <c r="M70" s="28">
        <f t="shared" si="11"/>
        <v>604403.73855901952</v>
      </c>
      <c r="N70" s="28">
        <f t="shared" si="11"/>
        <v>616491.81333019969</v>
      </c>
      <c r="O70" s="28">
        <f t="shared" si="11"/>
        <v>628821.64959680382</v>
      </c>
      <c r="P70" s="28">
        <f t="shared" si="11"/>
        <v>641398.08258873993</v>
      </c>
      <c r="Q70" s="28">
        <f t="shared" si="11"/>
        <v>654226.04424051486</v>
      </c>
      <c r="R70" s="28">
        <f t="shared" si="11"/>
        <v>667310.565125325</v>
      </c>
      <c r="S70" s="28">
        <f t="shared" si="11"/>
        <v>680656.77642783138</v>
      </c>
      <c r="T70" s="28">
        <f t="shared" si="11"/>
        <v>694269.91195638804</v>
      </c>
      <c r="U70" s="28">
        <f t="shared" si="11"/>
        <v>708155.31019551586</v>
      </c>
      <c r="V70" s="28">
        <f t="shared" si="11"/>
        <v>722318.41639942618</v>
      </c>
    </row>
    <row r="71" spans="1:22" x14ac:dyDescent="0.25">
      <c r="C71" s="2"/>
      <c r="D71" s="2"/>
      <c r="E71" s="2"/>
      <c r="F71" s="2"/>
      <c r="G71" s="2"/>
      <c r="H71" s="2"/>
      <c r="I71" s="2"/>
      <c r="J71" s="2"/>
      <c r="K71" s="2"/>
      <c r="L71" s="2"/>
      <c r="M71" s="2"/>
      <c r="N71" s="2"/>
      <c r="O71" s="2"/>
      <c r="P71" s="2"/>
      <c r="Q71" s="2"/>
      <c r="R71" s="2"/>
      <c r="S71" s="2"/>
      <c r="T71" s="2"/>
      <c r="U71" s="2"/>
      <c r="V71" s="2"/>
    </row>
    <row r="72" spans="1:22" x14ac:dyDescent="0.25">
      <c r="C72" s="25">
        <f>SUM(C69:C70)</f>
        <v>1588261.0174603178</v>
      </c>
      <c r="D72" s="25">
        <f t="shared" ref="D72:V72" si="12">SUM(D69:D70)</f>
        <v>1433535.3797460315</v>
      </c>
      <c r="E72" s="25">
        <f t="shared" si="12"/>
        <v>1414098.8453669841</v>
      </c>
      <c r="F72" s="25">
        <f t="shared" si="12"/>
        <v>1328611.1295116062</v>
      </c>
      <c r="G72" s="25">
        <f t="shared" si="12"/>
        <v>1281251.6419113867</v>
      </c>
      <c r="H72" s="25">
        <f t="shared" si="12"/>
        <v>1211579.459258246</v>
      </c>
      <c r="I72" s="25">
        <f t="shared" si="12"/>
        <v>1144157.6271911936</v>
      </c>
      <c r="J72" s="25">
        <f t="shared" si="12"/>
        <v>1072000.1631366783</v>
      </c>
      <c r="K72" s="25">
        <f t="shared" si="12"/>
        <v>979214.45144166297</v>
      </c>
      <c r="L72" s="25">
        <f t="shared" si="12"/>
        <v>882514.32870248123</v>
      </c>
      <c r="M72" s="25">
        <f t="shared" si="12"/>
        <v>1054068.4607812418</v>
      </c>
      <c r="N72" s="25">
        <f t="shared" si="12"/>
        <v>1066156.5355524221</v>
      </c>
      <c r="O72" s="25">
        <f t="shared" si="12"/>
        <v>1078486.3718190261</v>
      </c>
      <c r="P72" s="25">
        <f t="shared" si="12"/>
        <v>1091062.8048109622</v>
      </c>
      <c r="Q72" s="25">
        <f t="shared" si="12"/>
        <v>1103890.7664627372</v>
      </c>
      <c r="R72" s="25">
        <f t="shared" si="12"/>
        <v>1116975.2873475472</v>
      </c>
      <c r="S72" s="25">
        <f t="shared" si="12"/>
        <v>1130321.4986500535</v>
      </c>
      <c r="T72" s="25">
        <f t="shared" si="12"/>
        <v>1143934.6341786103</v>
      </c>
      <c r="U72" s="25">
        <f t="shared" si="12"/>
        <v>1157820.0324177381</v>
      </c>
      <c r="V72" s="25">
        <f t="shared" si="12"/>
        <v>1171983.1386216483</v>
      </c>
    </row>
    <row r="73" spans="1:22" x14ac:dyDescent="0.25">
      <c r="C73" s="2"/>
      <c r="D73" s="2"/>
      <c r="E73" s="2"/>
      <c r="F73" s="2"/>
      <c r="G73" s="2"/>
      <c r="H73" s="2"/>
      <c r="I73" s="2"/>
      <c r="J73" s="2"/>
      <c r="K73" s="2"/>
      <c r="L73" s="2"/>
      <c r="M73" s="2"/>
      <c r="N73" s="2"/>
      <c r="O73" s="2"/>
      <c r="P73" s="2"/>
      <c r="Q73" s="2"/>
      <c r="R73" s="2"/>
      <c r="S73" s="2"/>
      <c r="T73" s="2"/>
      <c r="U73" s="2"/>
      <c r="V73" s="2"/>
    </row>
    <row r="74" spans="1:22" x14ac:dyDescent="0.25">
      <c r="A74" s="79" t="s">
        <v>16</v>
      </c>
      <c r="B74" s="79" t="s">
        <v>82</v>
      </c>
      <c r="C74" s="78">
        <v>2021</v>
      </c>
      <c r="D74" s="79">
        <v>2022</v>
      </c>
      <c r="E74" s="78">
        <v>2023</v>
      </c>
      <c r="F74" s="79">
        <v>2024</v>
      </c>
      <c r="G74" s="78">
        <v>2025</v>
      </c>
      <c r="H74" s="79">
        <v>2026</v>
      </c>
      <c r="I74" s="78">
        <v>2027</v>
      </c>
      <c r="J74" s="79">
        <v>2028</v>
      </c>
      <c r="K74" s="78">
        <v>2029</v>
      </c>
      <c r="L74" s="79">
        <v>2030</v>
      </c>
      <c r="M74" s="78">
        <v>2031</v>
      </c>
      <c r="N74" s="79">
        <v>2032</v>
      </c>
      <c r="O74" s="78">
        <v>2033</v>
      </c>
      <c r="P74" s="79">
        <v>2034</v>
      </c>
      <c r="Q74" s="78">
        <v>2035</v>
      </c>
      <c r="R74" s="79">
        <v>2036</v>
      </c>
      <c r="S74" s="78">
        <v>2037</v>
      </c>
      <c r="T74" s="79">
        <v>2038</v>
      </c>
      <c r="U74" s="78">
        <v>2039</v>
      </c>
      <c r="V74" s="79">
        <v>2040</v>
      </c>
    </row>
    <row r="75" spans="1:22" x14ac:dyDescent="0.25">
      <c r="A75" s="32" t="s">
        <v>17</v>
      </c>
      <c r="B75" s="32" t="s">
        <v>41</v>
      </c>
      <c r="C75" s="108">
        <f>IFERROR(INDEX(lifespans_all!C$80:C$126,MATCH($A75,lifespans_all!$A$80:$A$126,0))*INDEX(SR_mission_minutes!C$2:C$43,MATCH($A75,SR_mission_minutes!$A$2:$A$43)),"-")</f>
        <v>66700.388888888891</v>
      </c>
      <c r="D75" s="108">
        <f>IFERROR(INDEX(lifespans_all!D$80:D$126,MATCH($A75,lifespans_all!$A$80:$A$126,0))*INDEX(SR_mission_minutes!D$2:D$43,MATCH($A75,SR_mission_minutes!$A$2:$A$43)),"-")</f>
        <v>66700.388888888891</v>
      </c>
      <c r="E75" s="108">
        <f>IFERROR(INDEX(lifespans_all!E$80:E$126,MATCH($A75,lifespans_all!$A$80:$A$126,0))*INDEX(SR_mission_minutes!E$2:E$43,MATCH($A75,SR_mission_minutes!$A$2:$A$43)),"-")</f>
        <v>66700.388888888891</v>
      </c>
      <c r="F75" s="108">
        <f>IFERROR(INDEX(lifespans_all!F$80:F$126,MATCH($A75,lifespans_all!$A$80:$A$126,0))*INDEX(SR_mission_minutes!F$2:F$43,MATCH($A75,SR_mission_minutes!$A$2:$A$43)),"-")</f>
        <v>66700.388888888891</v>
      </c>
      <c r="G75" s="108">
        <f>IFERROR(INDEX(lifespans_all!G$80:G$126,MATCH($A75,lifespans_all!$A$80:$A$126,0))*INDEX(SR_mission_minutes!G$2:G$43,MATCH($A75,SR_mission_minutes!$A$2:$A$43)),"-")</f>
        <v>0</v>
      </c>
      <c r="H75" s="108">
        <f>IFERROR(INDEX(lifespans_all!H$80:H$126,MATCH($A75,lifespans_all!$A$80:$A$126,0))*INDEX(SR_mission_minutes!H$2:H$43,MATCH($A75,SR_mission_minutes!$A$2:$A$43)),"-")</f>
        <v>0</v>
      </c>
      <c r="I75" s="108">
        <f>IFERROR(INDEX(lifespans_all!I$80:I$126,MATCH($A75,lifespans_all!$A$80:$A$126,0))*INDEX(SR_mission_minutes!I$2:I$43,MATCH($A75,SR_mission_minutes!$A$2:$A$43)),"-")</f>
        <v>0</v>
      </c>
      <c r="J75" s="108">
        <f>IFERROR(INDEX(lifespans_all!J$80:J$126,MATCH($A75,lifespans_all!$A$80:$A$126,0))*INDEX(SR_mission_minutes!J$2:J$43,MATCH($A75,SR_mission_minutes!$A$2:$A$43)),"-")</f>
        <v>0</v>
      </c>
      <c r="K75" s="108">
        <f>IFERROR(INDEX(lifespans_all!K$80:K$126,MATCH($A75,lifespans_all!$A$80:$A$126,0))*INDEX(SR_mission_minutes!K$2:K$43,MATCH($A75,SR_mission_minutes!$A$2:$A$43)),"-")</f>
        <v>0</v>
      </c>
      <c r="L75" s="108">
        <f>IFERROR(INDEX(lifespans_all!L$80:L$126,MATCH($A75,lifespans_all!$A$80:$A$126,0))*INDEX(SR_mission_minutes!L$2:L$43,MATCH($A75,SR_mission_minutes!$A$2:$A$43)),"-")</f>
        <v>0</v>
      </c>
      <c r="M75" s="108">
        <f>IFERROR(INDEX(lifespans_all!M$80:M$126,MATCH($A75,lifespans_all!$A$80:$A$126,0))*INDEX(SR_mission_minutes!M$2:M$43,MATCH($A75,SR_mission_minutes!$A$2:$A$43)),"-")</f>
        <v>0</v>
      </c>
      <c r="N75" s="108">
        <f>IFERROR(INDEX(lifespans_all!N$80:N$126,MATCH($A75,lifespans_all!$A$80:$A$126,0))*INDEX(SR_mission_minutes!N$2:N$43,MATCH($A75,SR_mission_minutes!$A$2:$A$43)),"-")</f>
        <v>0</v>
      </c>
      <c r="O75" s="108">
        <f>IFERROR(INDEX(lifespans_all!O$80:O$126,MATCH($A75,lifespans_all!$A$80:$A$126,0))*INDEX(SR_mission_minutes!O$2:O$43,MATCH($A75,SR_mission_minutes!$A$2:$A$43)),"-")</f>
        <v>0</v>
      </c>
      <c r="P75" s="108">
        <f>IFERROR(INDEX(lifespans_all!P$80:P$126,MATCH($A75,lifespans_all!$A$80:$A$126,0))*INDEX(SR_mission_minutes!P$2:P$43,MATCH($A75,SR_mission_minutes!$A$2:$A$43)),"-")</f>
        <v>0</v>
      </c>
      <c r="Q75" s="108">
        <f>IFERROR(INDEX(lifespans_all!Q$80:Q$126,MATCH($A75,lifespans_all!$A$80:$A$126,0))*INDEX(SR_mission_minutes!Q$2:Q$43,MATCH($A75,SR_mission_minutes!$A$2:$A$43)),"-")</f>
        <v>0</v>
      </c>
      <c r="R75" s="108">
        <f>IFERROR(INDEX(lifespans_all!R$80:R$126,MATCH($A75,lifespans_all!$A$80:$A$126,0))*INDEX(SR_mission_minutes!R$2:R$43,MATCH($A75,SR_mission_minutes!$A$2:$A$43)),"-")</f>
        <v>0</v>
      </c>
      <c r="S75" s="108">
        <f>IFERROR(INDEX(lifespans_all!S$80:S$126,MATCH($A75,lifespans_all!$A$80:$A$126,0))*INDEX(SR_mission_minutes!S$2:S$43,MATCH($A75,SR_mission_minutes!$A$2:$A$43)),"-")</f>
        <v>0</v>
      </c>
      <c r="T75" s="108">
        <f>IFERROR(INDEX(lifespans_all!T$80:T$126,MATCH($A75,lifespans_all!$A$80:$A$126,0))*INDEX(SR_mission_minutes!T$2:T$43,MATCH($A75,SR_mission_minutes!$A$2:$A$43)),"-")</f>
        <v>0</v>
      </c>
      <c r="U75" s="108">
        <f>IFERROR(INDEX(lifespans_all!U$80:U$126,MATCH($A75,lifespans_all!$A$80:$A$126,0))*INDEX(SR_mission_minutes!U$2:U$43,MATCH($A75,SR_mission_minutes!$A$2:$A$43)),"-")</f>
        <v>0</v>
      </c>
      <c r="V75" s="108">
        <f>IFERROR(INDEX(lifespans_all!V$80:V$126,MATCH($A75,lifespans_all!$A$80:$A$126,0))*INDEX(SR_mission_minutes!V$2:V$43,MATCH($A75,SR_mission_minutes!$A$2:$A$43)),"-")</f>
        <v>0</v>
      </c>
    </row>
    <row r="76" spans="1:22" x14ac:dyDescent="0.25">
      <c r="A76" s="32" t="s">
        <v>49</v>
      </c>
      <c r="B76" s="32" t="s">
        <v>41</v>
      </c>
      <c r="C76" s="108">
        <f>IFERROR(INDEX(lifespans_all!C$80:C$126,MATCH($A76,lifespans_all!$A$80:$A$126,0))*INDEX(SR_mission_minutes!C$2:C$43,MATCH($A76,SR_mission_minutes!$A$2:$A$43)),"-")</f>
        <v>66700.388888888891</v>
      </c>
      <c r="D76" s="108">
        <f>IFERROR(INDEX(lifespans_all!D$80:D$126,MATCH($A76,lifespans_all!$A$80:$A$126,0))*INDEX(SR_mission_minutes!D$2:D$43,MATCH($A76,SR_mission_minutes!$A$2:$A$43)),"-")</f>
        <v>66700.388888888891</v>
      </c>
      <c r="E76" s="108">
        <f>IFERROR(INDEX(lifespans_all!E$80:E$126,MATCH($A76,lifespans_all!$A$80:$A$126,0))*INDEX(SR_mission_minutes!E$2:E$43,MATCH($A76,SR_mission_minutes!$A$2:$A$43)),"-")</f>
        <v>66700.388888888891</v>
      </c>
      <c r="F76" s="108">
        <f>IFERROR(INDEX(lifespans_all!F$80:F$126,MATCH($A76,lifespans_all!$A$80:$A$126,0))*INDEX(SR_mission_minutes!F$2:F$43,MATCH($A76,SR_mission_minutes!$A$2:$A$43)),"-")</f>
        <v>66700.388888888891</v>
      </c>
      <c r="G76" s="108">
        <f>IFERROR(INDEX(lifespans_all!G$80:G$126,MATCH($A76,lifespans_all!$A$80:$A$126,0))*INDEX(SR_mission_minutes!G$2:G$43,MATCH($A76,SR_mission_minutes!$A$2:$A$43)),"-")</f>
        <v>66700.388888888891</v>
      </c>
      <c r="H76" s="108">
        <f>IFERROR(INDEX(lifespans_all!H$80:H$126,MATCH($A76,lifespans_all!$A$80:$A$126,0))*INDEX(SR_mission_minutes!H$2:H$43,MATCH($A76,SR_mission_minutes!$A$2:$A$43)),"-")</f>
        <v>66700.388888888891</v>
      </c>
      <c r="I76" s="108">
        <f>IFERROR(INDEX(lifespans_all!I$80:I$126,MATCH($A76,lifespans_all!$A$80:$A$126,0))*INDEX(SR_mission_minutes!I$2:I$43,MATCH($A76,SR_mission_minutes!$A$2:$A$43)),"-")</f>
        <v>0</v>
      </c>
      <c r="J76" s="108">
        <f>IFERROR(INDEX(lifespans_all!J$80:J$126,MATCH($A76,lifespans_all!$A$80:$A$126,0))*INDEX(SR_mission_minutes!J$2:J$43,MATCH($A76,SR_mission_minutes!$A$2:$A$43)),"-")</f>
        <v>0</v>
      </c>
      <c r="K76" s="108">
        <f>IFERROR(INDEX(lifespans_all!K$80:K$126,MATCH($A76,lifespans_all!$A$80:$A$126,0))*INDEX(SR_mission_minutes!K$2:K$43,MATCH($A76,SR_mission_minutes!$A$2:$A$43)),"-")</f>
        <v>0</v>
      </c>
      <c r="L76" s="108">
        <f>IFERROR(INDEX(lifespans_all!L$80:L$126,MATCH($A76,lifespans_all!$A$80:$A$126,0))*INDEX(SR_mission_minutes!L$2:L$43,MATCH($A76,SR_mission_minutes!$A$2:$A$43)),"-")</f>
        <v>0</v>
      </c>
      <c r="M76" s="108">
        <f>IFERROR(INDEX(lifespans_all!M$80:M$126,MATCH($A76,lifespans_all!$A$80:$A$126,0))*INDEX(SR_mission_minutes!M$2:M$43,MATCH($A76,SR_mission_minutes!$A$2:$A$43)),"-")</f>
        <v>0</v>
      </c>
      <c r="N76" s="108">
        <f>IFERROR(INDEX(lifespans_all!N$80:N$126,MATCH($A76,lifespans_all!$A$80:$A$126,0))*INDEX(SR_mission_minutes!N$2:N$43,MATCH($A76,SR_mission_minutes!$A$2:$A$43)),"-")</f>
        <v>0</v>
      </c>
      <c r="O76" s="108">
        <f>IFERROR(INDEX(lifespans_all!O$80:O$126,MATCH($A76,lifespans_all!$A$80:$A$126,0))*INDEX(SR_mission_minutes!O$2:O$43,MATCH($A76,SR_mission_minutes!$A$2:$A$43)),"-")</f>
        <v>0</v>
      </c>
      <c r="P76" s="108">
        <f>IFERROR(INDEX(lifespans_all!P$80:P$126,MATCH($A76,lifespans_all!$A$80:$A$126,0))*INDEX(SR_mission_minutes!P$2:P$43,MATCH($A76,SR_mission_minutes!$A$2:$A$43)),"-")</f>
        <v>0</v>
      </c>
      <c r="Q76" s="108">
        <f>IFERROR(INDEX(lifespans_all!Q$80:Q$126,MATCH($A76,lifespans_all!$A$80:$A$126,0))*INDEX(SR_mission_minutes!Q$2:Q$43,MATCH($A76,SR_mission_minutes!$A$2:$A$43)),"-")</f>
        <v>0</v>
      </c>
      <c r="R76" s="108">
        <f>IFERROR(INDEX(lifespans_all!R$80:R$126,MATCH($A76,lifespans_all!$A$80:$A$126,0))*INDEX(SR_mission_minutes!R$2:R$43,MATCH($A76,SR_mission_minutes!$A$2:$A$43)),"-")</f>
        <v>0</v>
      </c>
      <c r="S76" s="108">
        <f>IFERROR(INDEX(lifespans_all!S$80:S$126,MATCH($A76,lifespans_all!$A$80:$A$126,0))*INDEX(SR_mission_minutes!S$2:S$43,MATCH($A76,SR_mission_minutes!$A$2:$A$43)),"-")</f>
        <v>0</v>
      </c>
      <c r="T76" s="108">
        <f>IFERROR(INDEX(lifespans_all!T$80:T$126,MATCH($A76,lifespans_all!$A$80:$A$126,0))*INDEX(SR_mission_minutes!T$2:T$43,MATCH($A76,SR_mission_minutes!$A$2:$A$43)),"-")</f>
        <v>0</v>
      </c>
      <c r="U76" s="108">
        <f>IFERROR(INDEX(lifespans_all!U$80:U$126,MATCH($A76,lifespans_all!$A$80:$A$126,0))*INDEX(SR_mission_minutes!U$2:U$43,MATCH($A76,SR_mission_minutes!$A$2:$A$43)),"-")</f>
        <v>0</v>
      </c>
      <c r="V76" s="108">
        <f>IFERROR(INDEX(lifespans_all!V$80:V$126,MATCH($A76,lifespans_all!$A$80:$A$126,0))*INDEX(SR_mission_minutes!V$2:V$43,MATCH($A76,SR_mission_minutes!$A$2:$A$43)),"-")</f>
        <v>0</v>
      </c>
    </row>
    <row r="77" spans="1:22" x14ac:dyDescent="0.25">
      <c r="A77" s="32" t="s">
        <v>51</v>
      </c>
      <c r="B77" s="32" t="s">
        <v>42</v>
      </c>
      <c r="C77" s="108">
        <f>IFERROR(INDEX(lifespans_all!C$80:C$126,MATCH($A77,lifespans_all!$A$80:$A$126,0))*INDEX(SR_mission_minutes!C$2:C$43,MATCH($A77,SR_mission_minutes!$A$2:$A$43)),"-")</f>
        <v>2294</v>
      </c>
      <c r="D77" s="108">
        <f>IFERROR(INDEX(lifespans_all!D$80:D$126,MATCH($A77,lifespans_all!$A$80:$A$126,0))*INDEX(SR_mission_minutes!D$2:D$43,MATCH($A77,SR_mission_minutes!$A$2:$A$43)),"-")</f>
        <v>2294</v>
      </c>
      <c r="E77" s="108">
        <f>IFERROR(INDEX(lifespans_all!E$80:E$126,MATCH($A77,lifespans_all!$A$80:$A$126,0))*INDEX(SR_mission_minutes!E$2:E$43,MATCH($A77,SR_mission_minutes!$A$2:$A$43)),"-")</f>
        <v>2294</v>
      </c>
      <c r="F77" s="108">
        <f>IFERROR(INDEX(lifespans_all!F$80:F$126,MATCH($A77,lifespans_all!$A$80:$A$126,0))*INDEX(SR_mission_minutes!F$2:F$43,MATCH($A77,SR_mission_minutes!$A$2:$A$43)),"-")</f>
        <v>2294</v>
      </c>
      <c r="G77" s="108">
        <f>IFERROR(INDEX(lifespans_all!G$80:G$126,MATCH($A77,lifespans_all!$A$80:$A$126,0))*INDEX(SR_mission_minutes!G$2:G$43,MATCH($A77,SR_mission_minutes!$A$2:$A$43)),"-")</f>
        <v>0</v>
      </c>
      <c r="H77" s="108">
        <f>IFERROR(INDEX(lifespans_all!H$80:H$126,MATCH($A77,lifespans_all!$A$80:$A$126,0))*INDEX(SR_mission_minutes!H$2:H$43,MATCH($A77,SR_mission_minutes!$A$2:$A$43)),"-")</f>
        <v>0</v>
      </c>
      <c r="I77" s="108">
        <f>IFERROR(INDEX(lifespans_all!I$80:I$126,MATCH($A77,lifespans_all!$A$80:$A$126,0))*INDEX(SR_mission_minutes!I$2:I$43,MATCH($A77,SR_mission_minutes!$A$2:$A$43)),"-")</f>
        <v>0</v>
      </c>
      <c r="J77" s="108">
        <f>IFERROR(INDEX(lifespans_all!J$80:J$126,MATCH($A77,lifespans_all!$A$80:$A$126,0))*INDEX(SR_mission_minutes!J$2:J$43,MATCH($A77,SR_mission_minutes!$A$2:$A$43)),"-")</f>
        <v>0</v>
      </c>
      <c r="K77" s="108">
        <f>IFERROR(INDEX(lifespans_all!K$80:K$126,MATCH($A77,lifespans_all!$A$80:$A$126,0))*INDEX(SR_mission_minutes!K$2:K$43,MATCH($A77,SR_mission_minutes!$A$2:$A$43)),"-")</f>
        <v>0</v>
      </c>
      <c r="L77" s="108">
        <f>IFERROR(INDEX(lifespans_all!L$80:L$126,MATCH($A77,lifespans_all!$A$80:$A$126,0))*INDEX(SR_mission_minutes!L$2:L$43,MATCH($A77,SR_mission_minutes!$A$2:$A$43)),"-")</f>
        <v>0</v>
      </c>
      <c r="M77" s="108">
        <f>IFERROR(INDEX(lifespans_all!M$80:M$126,MATCH($A77,lifespans_all!$A$80:$A$126,0))*INDEX(SR_mission_minutes!M$2:M$43,MATCH($A77,SR_mission_minutes!$A$2:$A$43)),"-")</f>
        <v>0</v>
      </c>
      <c r="N77" s="108">
        <f>IFERROR(INDEX(lifespans_all!N$80:N$126,MATCH($A77,lifespans_all!$A$80:$A$126,0))*INDEX(SR_mission_minutes!N$2:N$43,MATCH($A77,SR_mission_minutes!$A$2:$A$43)),"-")</f>
        <v>0</v>
      </c>
      <c r="O77" s="108">
        <f>IFERROR(INDEX(lifespans_all!O$80:O$126,MATCH($A77,lifespans_all!$A$80:$A$126,0))*INDEX(SR_mission_minutes!O$2:O$43,MATCH($A77,SR_mission_minutes!$A$2:$A$43)),"-")</f>
        <v>0</v>
      </c>
      <c r="P77" s="108">
        <f>IFERROR(INDEX(lifespans_all!P$80:P$126,MATCH($A77,lifespans_all!$A$80:$A$126,0))*INDEX(SR_mission_minutes!P$2:P$43,MATCH($A77,SR_mission_minutes!$A$2:$A$43)),"-")</f>
        <v>0</v>
      </c>
      <c r="Q77" s="108">
        <f>IFERROR(INDEX(lifespans_all!Q$80:Q$126,MATCH($A77,lifespans_all!$A$80:$A$126,0))*INDEX(SR_mission_minutes!Q$2:Q$43,MATCH($A77,SR_mission_minutes!$A$2:$A$43)),"-")</f>
        <v>0</v>
      </c>
      <c r="R77" s="108">
        <f>IFERROR(INDEX(lifespans_all!R$80:R$126,MATCH($A77,lifespans_all!$A$80:$A$126,0))*INDEX(SR_mission_minutes!R$2:R$43,MATCH($A77,SR_mission_minutes!$A$2:$A$43)),"-")</f>
        <v>0</v>
      </c>
      <c r="S77" s="108">
        <f>IFERROR(INDEX(lifespans_all!S$80:S$126,MATCH($A77,lifespans_all!$A$80:$A$126,0))*INDEX(SR_mission_minutes!S$2:S$43,MATCH($A77,SR_mission_minutes!$A$2:$A$43)),"-")</f>
        <v>0</v>
      </c>
      <c r="T77" s="108">
        <f>IFERROR(INDEX(lifespans_all!T$80:T$126,MATCH($A77,lifespans_all!$A$80:$A$126,0))*INDEX(SR_mission_minutes!T$2:T$43,MATCH($A77,SR_mission_minutes!$A$2:$A$43)),"-")</f>
        <v>0</v>
      </c>
      <c r="U77" s="108">
        <f>IFERROR(INDEX(lifespans_all!U$80:U$126,MATCH($A77,lifespans_all!$A$80:$A$126,0))*INDEX(SR_mission_minutes!U$2:U$43,MATCH($A77,SR_mission_minutes!$A$2:$A$43)),"-")</f>
        <v>0</v>
      </c>
      <c r="V77" s="108">
        <f>IFERROR(INDEX(lifespans_all!V$80:V$126,MATCH($A77,lifespans_all!$A$80:$A$126,0))*INDEX(SR_mission_minutes!V$2:V$43,MATCH($A77,SR_mission_minutes!$A$2:$A$43)),"-")</f>
        <v>0</v>
      </c>
    </row>
    <row r="78" spans="1:22" x14ac:dyDescent="0.25">
      <c r="A78" s="32" t="s">
        <v>52</v>
      </c>
      <c r="B78" s="32" t="s">
        <v>41</v>
      </c>
      <c r="C78" s="108">
        <f>IFERROR(INDEX(lifespans_all!C$80:C$126,MATCH($A78,lifespans_all!$A$80:$A$126,0))*INDEX(SR_mission_minutes!C$2:C$43,MATCH($A78,SR_mission_minutes!$A$2:$A$43)),"-")</f>
        <v>66700.388888888891</v>
      </c>
      <c r="D78" s="108">
        <f>IFERROR(INDEX(lifespans_all!D$80:D$126,MATCH($A78,lifespans_all!$A$80:$A$126,0))*INDEX(SR_mission_minutes!D$2:D$43,MATCH($A78,SR_mission_minutes!$A$2:$A$43)),"-")</f>
        <v>66700.388888888891</v>
      </c>
      <c r="E78" s="108">
        <f>IFERROR(INDEX(lifespans_all!E$80:E$126,MATCH($A78,lifespans_all!$A$80:$A$126,0))*INDEX(SR_mission_minutes!E$2:E$43,MATCH($A78,SR_mission_minutes!$A$2:$A$43)),"-")</f>
        <v>66700.388888888891</v>
      </c>
      <c r="F78" s="108">
        <f>IFERROR(INDEX(lifespans_all!F$80:F$126,MATCH($A78,lifespans_all!$A$80:$A$126,0))*INDEX(SR_mission_minutes!F$2:F$43,MATCH($A78,SR_mission_minutes!$A$2:$A$43)),"-")</f>
        <v>66700.388888888891</v>
      </c>
      <c r="G78" s="108">
        <f>IFERROR(INDEX(lifespans_all!G$80:G$126,MATCH($A78,lifespans_all!$A$80:$A$126,0))*INDEX(SR_mission_minutes!G$2:G$43,MATCH($A78,SR_mission_minutes!$A$2:$A$43)),"-")</f>
        <v>66700.388888888891</v>
      </c>
      <c r="H78" s="108">
        <f>IFERROR(INDEX(lifespans_all!H$80:H$126,MATCH($A78,lifespans_all!$A$80:$A$126,0))*INDEX(SR_mission_minutes!H$2:H$43,MATCH($A78,SR_mission_minutes!$A$2:$A$43)),"-")</f>
        <v>66700.388888888891</v>
      </c>
      <c r="I78" s="108">
        <f>IFERROR(INDEX(lifespans_all!I$80:I$126,MATCH($A78,lifespans_all!$A$80:$A$126,0))*INDEX(SR_mission_minutes!I$2:I$43,MATCH($A78,SR_mission_minutes!$A$2:$A$43)),"-")</f>
        <v>0</v>
      </c>
      <c r="J78" s="108">
        <f>IFERROR(INDEX(lifespans_all!J$80:J$126,MATCH($A78,lifespans_all!$A$80:$A$126,0))*INDEX(SR_mission_minutes!J$2:J$43,MATCH($A78,SR_mission_minutes!$A$2:$A$43)),"-")</f>
        <v>0</v>
      </c>
      <c r="K78" s="108">
        <f>IFERROR(INDEX(lifespans_all!K$80:K$126,MATCH($A78,lifespans_all!$A$80:$A$126,0))*INDEX(SR_mission_minutes!K$2:K$43,MATCH($A78,SR_mission_minutes!$A$2:$A$43)),"-")</f>
        <v>0</v>
      </c>
      <c r="L78" s="108">
        <f>IFERROR(INDEX(lifespans_all!L$80:L$126,MATCH($A78,lifespans_all!$A$80:$A$126,0))*INDEX(SR_mission_minutes!L$2:L$43,MATCH($A78,SR_mission_minutes!$A$2:$A$43)),"-")</f>
        <v>0</v>
      </c>
      <c r="M78" s="108">
        <f>IFERROR(INDEX(lifespans_all!M$80:M$126,MATCH($A78,lifespans_all!$A$80:$A$126,0))*INDEX(SR_mission_minutes!M$2:M$43,MATCH($A78,SR_mission_minutes!$A$2:$A$43)),"-")</f>
        <v>0</v>
      </c>
      <c r="N78" s="108">
        <f>IFERROR(INDEX(lifespans_all!N$80:N$126,MATCH($A78,lifespans_all!$A$80:$A$126,0))*INDEX(SR_mission_minutes!N$2:N$43,MATCH($A78,SR_mission_minutes!$A$2:$A$43)),"-")</f>
        <v>0</v>
      </c>
      <c r="O78" s="108">
        <f>IFERROR(INDEX(lifespans_all!O$80:O$126,MATCH($A78,lifespans_all!$A$80:$A$126,0))*INDEX(SR_mission_minutes!O$2:O$43,MATCH($A78,SR_mission_minutes!$A$2:$A$43)),"-")</f>
        <v>0</v>
      </c>
      <c r="P78" s="108">
        <f>IFERROR(INDEX(lifespans_all!P$80:P$126,MATCH($A78,lifespans_all!$A$80:$A$126,0))*INDEX(SR_mission_minutes!P$2:P$43,MATCH($A78,SR_mission_minutes!$A$2:$A$43)),"-")</f>
        <v>0</v>
      </c>
      <c r="Q78" s="108">
        <f>IFERROR(INDEX(lifespans_all!Q$80:Q$126,MATCH($A78,lifespans_all!$A$80:$A$126,0))*INDEX(SR_mission_minutes!Q$2:Q$43,MATCH($A78,SR_mission_minutes!$A$2:$A$43)),"-")</f>
        <v>0</v>
      </c>
      <c r="R78" s="108">
        <f>IFERROR(INDEX(lifespans_all!R$80:R$126,MATCH($A78,lifespans_all!$A$80:$A$126,0))*INDEX(SR_mission_minutes!R$2:R$43,MATCH($A78,SR_mission_minutes!$A$2:$A$43)),"-")</f>
        <v>0</v>
      </c>
      <c r="S78" s="108">
        <f>IFERROR(INDEX(lifespans_all!S$80:S$126,MATCH($A78,lifespans_all!$A$80:$A$126,0))*INDEX(SR_mission_minutes!S$2:S$43,MATCH($A78,SR_mission_minutes!$A$2:$A$43)),"-")</f>
        <v>0</v>
      </c>
      <c r="T78" s="108">
        <f>IFERROR(INDEX(lifespans_all!T$80:T$126,MATCH($A78,lifespans_all!$A$80:$A$126,0))*INDEX(SR_mission_minutes!T$2:T$43,MATCH($A78,SR_mission_minutes!$A$2:$A$43)),"-")</f>
        <v>0</v>
      </c>
      <c r="U78" s="108">
        <f>IFERROR(INDEX(lifespans_all!U$80:U$126,MATCH($A78,lifespans_all!$A$80:$A$126,0))*INDEX(SR_mission_minutes!U$2:U$43,MATCH($A78,SR_mission_minutes!$A$2:$A$43)),"-")</f>
        <v>0</v>
      </c>
      <c r="V78" s="108">
        <f>IFERROR(INDEX(lifespans_all!V$80:V$126,MATCH($A78,lifespans_all!$A$80:$A$126,0))*INDEX(SR_mission_minutes!V$2:V$43,MATCH($A78,SR_mission_minutes!$A$2:$A$43)),"-")</f>
        <v>0</v>
      </c>
    </row>
    <row r="79" spans="1:22" x14ac:dyDescent="0.25">
      <c r="A79" s="32" t="s">
        <v>18</v>
      </c>
      <c r="B79" s="32" t="s">
        <v>48</v>
      </c>
      <c r="C79" s="108" t="str">
        <f>IFERROR(INDEX(lifespans_all!C$80:C$126,MATCH($A79,lifespans_all!$A$80:$A$126,0))*INDEX(SR_mission_minutes!C$2:C$43,MATCH($A79,SR_mission_minutes!$A$2:$A$43)),"-")</f>
        <v>-</v>
      </c>
      <c r="D79" s="108" t="str">
        <f>IFERROR(INDEX(lifespans_all!D$80:D$126,MATCH($A79,lifespans_all!$A$80:$A$126,0))*INDEX(SR_mission_minutes!D$2:D$43,MATCH($A79,SR_mission_minutes!$A$2:$A$43)),"-")</f>
        <v>-</v>
      </c>
      <c r="E79" s="108" t="str">
        <f>IFERROR(INDEX(lifespans_all!E$80:E$126,MATCH($A79,lifespans_all!$A$80:$A$126,0))*INDEX(SR_mission_minutes!E$2:E$43,MATCH($A79,SR_mission_minutes!$A$2:$A$43)),"-")</f>
        <v>-</v>
      </c>
      <c r="F79" s="108" t="str">
        <f>IFERROR(INDEX(lifespans_all!F$80:F$126,MATCH($A79,lifespans_all!$A$80:$A$126,0))*INDEX(SR_mission_minutes!F$2:F$43,MATCH($A79,SR_mission_minutes!$A$2:$A$43)),"-")</f>
        <v>-</v>
      </c>
      <c r="G79" s="108" t="str">
        <f>IFERROR(INDEX(lifespans_all!G$80:G$126,MATCH($A79,lifespans_all!$A$80:$A$126,0))*INDEX(SR_mission_minutes!G$2:G$43,MATCH($A79,SR_mission_minutes!$A$2:$A$43)),"-")</f>
        <v>-</v>
      </c>
      <c r="H79" s="108" t="str">
        <f>IFERROR(INDEX(lifespans_all!H$80:H$126,MATCH($A79,lifespans_all!$A$80:$A$126,0))*INDEX(SR_mission_minutes!H$2:H$43,MATCH($A79,SR_mission_minutes!$A$2:$A$43)),"-")</f>
        <v>-</v>
      </c>
      <c r="I79" s="108" t="str">
        <f>IFERROR(INDEX(lifespans_all!I$80:I$126,MATCH($A79,lifespans_all!$A$80:$A$126,0))*INDEX(SR_mission_minutes!I$2:I$43,MATCH($A79,SR_mission_minutes!$A$2:$A$43)),"-")</f>
        <v>-</v>
      </c>
      <c r="J79" s="108" t="str">
        <f>IFERROR(INDEX(lifespans_all!J$80:J$126,MATCH($A79,lifespans_all!$A$80:$A$126,0))*INDEX(SR_mission_minutes!J$2:J$43,MATCH($A79,SR_mission_minutes!$A$2:$A$43)),"-")</f>
        <v>-</v>
      </c>
      <c r="K79" s="108" t="str">
        <f>IFERROR(INDEX(lifespans_all!K$80:K$126,MATCH($A79,lifespans_all!$A$80:$A$126,0))*INDEX(SR_mission_minutes!K$2:K$43,MATCH($A79,SR_mission_minutes!$A$2:$A$43)),"-")</f>
        <v>-</v>
      </c>
      <c r="L79" s="108" t="str">
        <f>IFERROR(INDEX(lifespans_all!L$80:L$126,MATCH($A79,lifespans_all!$A$80:$A$126,0))*INDEX(SR_mission_minutes!L$2:L$43,MATCH($A79,SR_mission_minutes!$A$2:$A$43)),"-")</f>
        <v>-</v>
      </c>
      <c r="M79" s="108" t="str">
        <f>IFERROR(INDEX(lifespans_all!M$80:M$126,MATCH($A79,lifespans_all!$A$80:$A$126,0))*INDEX(SR_mission_minutes!M$2:M$43,MATCH($A79,SR_mission_minutes!$A$2:$A$43)),"-")</f>
        <v>-</v>
      </c>
      <c r="N79" s="108" t="str">
        <f>IFERROR(INDEX(lifespans_all!N$80:N$126,MATCH($A79,lifespans_all!$A$80:$A$126,0))*INDEX(SR_mission_minutes!N$2:N$43,MATCH($A79,SR_mission_minutes!$A$2:$A$43)),"-")</f>
        <v>-</v>
      </c>
      <c r="O79" s="108" t="str">
        <f>IFERROR(INDEX(lifespans_all!O$80:O$126,MATCH($A79,lifespans_all!$A$80:$A$126,0))*INDEX(SR_mission_minutes!O$2:O$43,MATCH($A79,SR_mission_minutes!$A$2:$A$43)),"-")</f>
        <v>-</v>
      </c>
      <c r="P79" s="108" t="str">
        <f>IFERROR(INDEX(lifespans_all!P$80:P$126,MATCH($A79,lifespans_all!$A$80:$A$126,0))*INDEX(SR_mission_minutes!P$2:P$43,MATCH($A79,SR_mission_minutes!$A$2:$A$43)),"-")</f>
        <v>-</v>
      </c>
      <c r="Q79" s="108" t="str">
        <f>IFERROR(INDEX(lifespans_all!Q$80:Q$126,MATCH($A79,lifespans_all!$A$80:$A$126,0))*INDEX(SR_mission_minutes!Q$2:Q$43,MATCH($A79,SR_mission_minutes!$A$2:$A$43)),"-")</f>
        <v>-</v>
      </c>
      <c r="R79" s="108" t="str">
        <f>IFERROR(INDEX(lifespans_all!R$80:R$126,MATCH($A79,lifespans_all!$A$80:$A$126,0))*INDEX(SR_mission_minutes!R$2:R$43,MATCH($A79,SR_mission_minutes!$A$2:$A$43)),"-")</f>
        <v>-</v>
      </c>
      <c r="S79" s="108" t="str">
        <f>IFERROR(INDEX(lifespans_all!S$80:S$126,MATCH($A79,lifespans_all!$A$80:$A$126,0))*INDEX(SR_mission_minutes!S$2:S$43,MATCH($A79,SR_mission_minutes!$A$2:$A$43)),"-")</f>
        <v>-</v>
      </c>
      <c r="T79" s="108" t="str">
        <f>IFERROR(INDEX(lifespans_all!T$80:T$126,MATCH($A79,lifespans_all!$A$80:$A$126,0))*INDEX(SR_mission_minutes!T$2:T$43,MATCH($A79,SR_mission_minutes!$A$2:$A$43)),"-")</f>
        <v>-</v>
      </c>
      <c r="U79" s="108" t="str">
        <f>IFERROR(INDEX(lifespans_all!U$80:U$126,MATCH($A79,lifespans_all!$A$80:$A$126,0))*INDEX(SR_mission_minutes!U$2:U$43,MATCH($A79,SR_mission_minutes!$A$2:$A$43)),"-")</f>
        <v>-</v>
      </c>
      <c r="V79" s="108" t="str">
        <f>IFERROR(INDEX(lifespans_all!V$80:V$126,MATCH($A79,lifespans_all!$A$80:$A$126,0))*INDEX(SR_mission_minutes!V$2:V$43,MATCH($A79,SR_mission_minutes!$A$2:$A$43)),"-")</f>
        <v>-</v>
      </c>
    </row>
    <row r="80" spans="1:22" x14ac:dyDescent="0.25">
      <c r="A80" s="32" t="s">
        <v>55</v>
      </c>
      <c r="B80" s="32" t="s">
        <v>42</v>
      </c>
      <c r="C80" s="108">
        <f>IFERROR(INDEX(lifespans_all!C$80:C$126,MATCH($A80,lifespans_all!$A$80:$A$126,0))*INDEX(SR_mission_minutes!C$2:C$43,MATCH($A80,SR_mission_minutes!$A$2:$A$43)),"-")</f>
        <v>2294</v>
      </c>
      <c r="D80" s="108">
        <f>IFERROR(INDEX(lifespans_all!D$80:D$126,MATCH($A80,lifespans_all!$A$80:$A$126,0))*INDEX(SR_mission_minutes!D$2:D$43,MATCH($A80,SR_mission_minutes!$A$2:$A$43)),"-")</f>
        <v>2294</v>
      </c>
      <c r="E80" s="108">
        <f>IFERROR(INDEX(lifespans_all!E$80:E$126,MATCH($A80,lifespans_all!$A$80:$A$126,0))*INDEX(SR_mission_minutes!E$2:E$43,MATCH($A80,SR_mission_minutes!$A$2:$A$43)),"-")</f>
        <v>2294</v>
      </c>
      <c r="F80" s="108">
        <f>IFERROR(INDEX(lifespans_all!F$80:F$126,MATCH($A80,lifespans_all!$A$80:$A$126,0))*INDEX(SR_mission_minutes!F$2:F$43,MATCH($A80,SR_mission_minutes!$A$2:$A$43)),"-")</f>
        <v>2294</v>
      </c>
      <c r="G80" s="108">
        <f>IFERROR(INDEX(lifespans_all!G$80:G$126,MATCH($A80,lifespans_all!$A$80:$A$126,0))*INDEX(SR_mission_minutes!G$2:G$43,MATCH($A80,SR_mission_minutes!$A$2:$A$43)),"-")</f>
        <v>2294</v>
      </c>
      <c r="H80" s="108">
        <f>IFERROR(INDEX(lifespans_all!H$80:H$126,MATCH($A80,lifespans_all!$A$80:$A$126,0))*INDEX(SR_mission_minutes!H$2:H$43,MATCH($A80,SR_mission_minutes!$A$2:$A$43)),"-")</f>
        <v>2294</v>
      </c>
      <c r="I80" s="108">
        <f>IFERROR(INDEX(lifespans_all!I$80:I$126,MATCH($A80,lifespans_all!$A$80:$A$126,0))*INDEX(SR_mission_minutes!I$2:I$43,MATCH($A80,SR_mission_minutes!$A$2:$A$43)),"-")</f>
        <v>2294</v>
      </c>
      <c r="J80" s="108">
        <f>IFERROR(INDEX(lifespans_all!J$80:J$126,MATCH($A80,lifespans_all!$A$80:$A$126,0))*INDEX(SR_mission_minutes!J$2:J$43,MATCH($A80,SR_mission_minutes!$A$2:$A$43)),"-")</f>
        <v>2294</v>
      </c>
      <c r="K80" s="108">
        <f>IFERROR(INDEX(lifespans_all!K$80:K$126,MATCH($A80,lifespans_all!$A$80:$A$126,0))*INDEX(SR_mission_minutes!K$2:K$43,MATCH($A80,SR_mission_minutes!$A$2:$A$43)),"-")</f>
        <v>2294</v>
      </c>
      <c r="L80" s="108">
        <f>IFERROR(INDEX(lifespans_all!L$80:L$126,MATCH($A80,lifespans_all!$A$80:$A$126,0))*INDEX(SR_mission_minutes!L$2:L$43,MATCH($A80,SR_mission_minutes!$A$2:$A$43)),"-")</f>
        <v>2294</v>
      </c>
      <c r="M80" s="108">
        <f>IFERROR(INDEX(lifespans_all!M$80:M$126,MATCH($A80,lifespans_all!$A$80:$A$126,0))*INDEX(SR_mission_minutes!M$2:M$43,MATCH($A80,SR_mission_minutes!$A$2:$A$43)),"-")</f>
        <v>2294</v>
      </c>
      <c r="N80" s="108">
        <f>IFERROR(INDEX(lifespans_all!N$80:N$126,MATCH($A80,lifespans_all!$A$80:$A$126,0))*INDEX(SR_mission_minutes!N$2:N$43,MATCH($A80,SR_mission_minutes!$A$2:$A$43)),"-")</f>
        <v>2294</v>
      </c>
      <c r="O80" s="108">
        <f>IFERROR(INDEX(lifespans_all!O$80:O$126,MATCH($A80,lifespans_all!$A$80:$A$126,0))*INDEX(SR_mission_minutes!O$2:O$43,MATCH($A80,SR_mission_minutes!$A$2:$A$43)),"-")</f>
        <v>2294</v>
      </c>
      <c r="P80" s="108">
        <f>IFERROR(INDEX(lifespans_all!P$80:P$126,MATCH($A80,lifespans_all!$A$80:$A$126,0))*INDEX(SR_mission_minutes!P$2:P$43,MATCH($A80,SR_mission_minutes!$A$2:$A$43)),"-")</f>
        <v>2294</v>
      </c>
      <c r="Q80" s="108">
        <f>IFERROR(INDEX(lifespans_all!Q$80:Q$126,MATCH($A80,lifespans_all!$A$80:$A$126,0))*INDEX(SR_mission_minutes!Q$2:Q$43,MATCH($A80,SR_mission_minutes!$A$2:$A$43)),"-")</f>
        <v>2294</v>
      </c>
      <c r="R80" s="108">
        <f>IFERROR(INDEX(lifespans_all!R$80:R$126,MATCH($A80,lifespans_all!$A$80:$A$126,0))*INDEX(SR_mission_minutes!R$2:R$43,MATCH($A80,SR_mission_minutes!$A$2:$A$43)),"-")</f>
        <v>2294</v>
      </c>
      <c r="S80" s="108">
        <f>IFERROR(INDEX(lifespans_all!S$80:S$126,MATCH($A80,lifespans_all!$A$80:$A$126,0))*INDEX(SR_mission_minutes!S$2:S$43,MATCH($A80,SR_mission_minutes!$A$2:$A$43)),"-")</f>
        <v>2294</v>
      </c>
      <c r="T80" s="108">
        <f>IFERROR(INDEX(lifespans_all!T$80:T$126,MATCH($A80,lifespans_all!$A$80:$A$126,0))*INDEX(SR_mission_minutes!T$2:T$43,MATCH($A80,SR_mission_minutes!$A$2:$A$43)),"-")</f>
        <v>2294</v>
      </c>
      <c r="U80" s="108">
        <f>IFERROR(INDEX(lifespans_all!U$80:U$126,MATCH($A80,lifespans_all!$A$80:$A$126,0))*INDEX(SR_mission_minutes!U$2:U$43,MATCH($A80,SR_mission_minutes!$A$2:$A$43)),"-")</f>
        <v>2294</v>
      </c>
      <c r="V80" s="108">
        <f>IFERROR(INDEX(lifespans_all!V$80:V$126,MATCH($A80,lifespans_all!$A$80:$A$126,0))*INDEX(SR_mission_minutes!V$2:V$43,MATCH($A80,SR_mission_minutes!$A$2:$A$43)),"-")</f>
        <v>2294</v>
      </c>
    </row>
    <row r="81" spans="1:22" x14ac:dyDescent="0.25">
      <c r="A81" s="32" t="s">
        <v>56</v>
      </c>
      <c r="B81" s="32" t="s">
        <v>43</v>
      </c>
      <c r="C81" s="108">
        <f>IFERROR(INDEX(lifespans_all!C$80:C$126,MATCH($A81,lifespans_all!$A$80:$A$126,0))*INDEX(SR_mission_minutes!C$2:C$43,MATCH($A81,SR_mission_minutes!$A$2:$A$43)),"-")</f>
        <v>114879</v>
      </c>
      <c r="D81" s="108">
        <f>IFERROR(INDEX(lifespans_all!D$80:D$126,MATCH($A81,lifespans_all!$A$80:$A$126,0))*INDEX(SR_mission_minutes!D$2:D$43,MATCH($A81,SR_mission_minutes!$A$2:$A$43)),"-")</f>
        <v>114879</v>
      </c>
      <c r="E81" s="108">
        <f>IFERROR(INDEX(lifespans_all!E$80:E$126,MATCH($A81,lifespans_all!$A$80:$A$126,0))*INDEX(SR_mission_minutes!E$2:E$43,MATCH($A81,SR_mission_minutes!$A$2:$A$43)),"-")</f>
        <v>114879</v>
      </c>
      <c r="F81" s="108">
        <f>IFERROR(INDEX(lifespans_all!F$80:F$126,MATCH($A81,lifespans_all!$A$80:$A$126,0))*INDEX(SR_mission_minutes!F$2:F$43,MATCH($A81,SR_mission_minutes!$A$2:$A$43)),"-")</f>
        <v>114879</v>
      </c>
      <c r="G81" s="108">
        <f>IFERROR(INDEX(lifespans_all!G$80:G$126,MATCH($A81,lifespans_all!$A$80:$A$126,0))*INDEX(SR_mission_minutes!G$2:G$43,MATCH($A81,SR_mission_minutes!$A$2:$A$43)),"-")</f>
        <v>114879</v>
      </c>
      <c r="H81" s="108">
        <f>IFERROR(INDEX(lifespans_all!H$80:H$126,MATCH($A81,lifespans_all!$A$80:$A$126,0))*INDEX(SR_mission_minutes!H$2:H$43,MATCH($A81,SR_mission_minutes!$A$2:$A$43)),"-")</f>
        <v>114879</v>
      </c>
      <c r="I81" s="108">
        <f>IFERROR(INDEX(lifespans_all!I$80:I$126,MATCH($A81,lifespans_all!$A$80:$A$126,0))*INDEX(SR_mission_minutes!I$2:I$43,MATCH($A81,SR_mission_minutes!$A$2:$A$43)),"-")</f>
        <v>114879</v>
      </c>
      <c r="J81" s="108">
        <f>IFERROR(INDEX(lifespans_all!J$80:J$126,MATCH($A81,lifespans_all!$A$80:$A$126,0))*INDEX(SR_mission_minutes!J$2:J$43,MATCH($A81,SR_mission_minutes!$A$2:$A$43)),"-")</f>
        <v>114879</v>
      </c>
      <c r="K81" s="108">
        <f>IFERROR(INDEX(lifespans_all!K$80:K$126,MATCH($A81,lifespans_all!$A$80:$A$126,0))*INDEX(SR_mission_minutes!K$2:K$43,MATCH($A81,SR_mission_minutes!$A$2:$A$43)),"-")</f>
        <v>114879</v>
      </c>
      <c r="L81" s="108">
        <f>IFERROR(INDEX(lifespans_all!L$80:L$126,MATCH($A81,lifespans_all!$A$80:$A$126,0))*INDEX(SR_mission_minutes!L$2:L$43,MATCH($A81,SR_mission_minutes!$A$2:$A$43)),"-")</f>
        <v>114879</v>
      </c>
      <c r="M81" s="108">
        <f>IFERROR(INDEX(lifespans_all!M$80:M$126,MATCH($A81,lifespans_all!$A$80:$A$126,0))*INDEX(SR_mission_minutes!M$2:M$43,MATCH($A81,SR_mission_minutes!$A$2:$A$43)),"-")</f>
        <v>114879</v>
      </c>
      <c r="N81" s="108">
        <f>IFERROR(INDEX(lifespans_all!N$80:N$126,MATCH($A81,lifespans_all!$A$80:$A$126,0))*INDEX(SR_mission_minutes!N$2:N$43,MATCH($A81,SR_mission_minutes!$A$2:$A$43)),"-")</f>
        <v>114879</v>
      </c>
      <c r="O81" s="108">
        <f>IFERROR(INDEX(lifespans_all!O$80:O$126,MATCH($A81,lifespans_all!$A$80:$A$126,0))*INDEX(SR_mission_minutes!O$2:O$43,MATCH($A81,SR_mission_minutes!$A$2:$A$43)),"-")</f>
        <v>114879</v>
      </c>
      <c r="P81" s="108">
        <f>IFERROR(INDEX(lifespans_all!P$80:P$126,MATCH($A81,lifespans_all!$A$80:$A$126,0))*INDEX(SR_mission_minutes!P$2:P$43,MATCH($A81,SR_mission_minutes!$A$2:$A$43)),"-")</f>
        <v>114879</v>
      </c>
      <c r="Q81" s="108">
        <f>IFERROR(INDEX(lifespans_all!Q$80:Q$126,MATCH($A81,lifespans_all!$A$80:$A$126,0))*INDEX(SR_mission_minutes!Q$2:Q$43,MATCH($A81,SR_mission_minutes!$A$2:$A$43)),"-")</f>
        <v>114879</v>
      </c>
      <c r="R81" s="108">
        <f>IFERROR(INDEX(lifespans_all!R$80:R$126,MATCH($A81,lifespans_all!$A$80:$A$126,0))*INDEX(SR_mission_minutes!R$2:R$43,MATCH($A81,SR_mission_minutes!$A$2:$A$43)),"-")</f>
        <v>114879</v>
      </c>
      <c r="S81" s="108">
        <f>IFERROR(INDEX(lifespans_all!S$80:S$126,MATCH($A81,lifespans_all!$A$80:$A$126,0))*INDEX(SR_mission_minutes!S$2:S$43,MATCH($A81,SR_mission_minutes!$A$2:$A$43)),"-")</f>
        <v>114879</v>
      </c>
      <c r="T81" s="108">
        <f>IFERROR(INDEX(lifespans_all!T$80:T$126,MATCH($A81,lifespans_all!$A$80:$A$126,0))*INDEX(SR_mission_minutes!T$2:T$43,MATCH($A81,SR_mission_minutes!$A$2:$A$43)),"-")</f>
        <v>114879</v>
      </c>
      <c r="U81" s="108">
        <f>IFERROR(INDEX(lifespans_all!U$80:U$126,MATCH($A81,lifespans_all!$A$80:$A$126,0))*INDEX(SR_mission_minutes!U$2:U$43,MATCH($A81,SR_mission_minutes!$A$2:$A$43)),"-")</f>
        <v>114879</v>
      </c>
      <c r="V81" s="108">
        <f>IFERROR(INDEX(lifespans_all!V$80:V$126,MATCH($A81,lifespans_all!$A$80:$A$126,0))*INDEX(SR_mission_minutes!V$2:V$43,MATCH($A81,SR_mission_minutes!$A$2:$A$43)),"-")</f>
        <v>114879</v>
      </c>
    </row>
    <row r="82" spans="1:22" x14ac:dyDescent="0.25">
      <c r="A82" s="32" t="s">
        <v>19</v>
      </c>
      <c r="B82" s="32" t="s">
        <v>41</v>
      </c>
      <c r="C82" s="108">
        <f>IFERROR(INDEX(lifespans_all!C$80:C$126,MATCH($A82,lifespans_all!$A$80:$A$126,0))*INDEX(SR_mission_minutes!C$2:C$43,MATCH($A82,SR_mission_minutes!$A$2:$A$43)),"-")</f>
        <v>66700.388888888891</v>
      </c>
      <c r="D82" s="108">
        <f>IFERROR(INDEX(lifespans_all!D$80:D$126,MATCH($A82,lifespans_all!$A$80:$A$126,0))*INDEX(SR_mission_minutes!D$2:D$43,MATCH($A82,SR_mission_minutes!$A$2:$A$43)),"-")</f>
        <v>66700.388888888891</v>
      </c>
      <c r="E82" s="108">
        <f>IFERROR(INDEX(lifespans_all!E$80:E$126,MATCH($A82,lifespans_all!$A$80:$A$126,0))*INDEX(SR_mission_minutes!E$2:E$43,MATCH($A82,SR_mission_minutes!$A$2:$A$43)),"-")</f>
        <v>66700.388888888891</v>
      </c>
      <c r="F82" s="108">
        <f>IFERROR(INDEX(lifespans_all!F$80:F$126,MATCH($A82,lifespans_all!$A$80:$A$126,0))*INDEX(SR_mission_minutes!F$2:F$43,MATCH($A82,SR_mission_minutes!$A$2:$A$43)),"-")</f>
        <v>66700.388888888891</v>
      </c>
      <c r="G82" s="108">
        <f>IFERROR(INDEX(lifespans_all!G$80:G$126,MATCH($A82,lifespans_all!$A$80:$A$126,0))*INDEX(SR_mission_minutes!G$2:G$43,MATCH($A82,SR_mission_minutes!$A$2:$A$43)),"-")</f>
        <v>66700.388888888891</v>
      </c>
      <c r="H82" s="108">
        <f>IFERROR(INDEX(lifespans_all!H$80:H$126,MATCH($A82,lifespans_all!$A$80:$A$126,0))*INDEX(SR_mission_minutes!H$2:H$43,MATCH($A82,SR_mission_minutes!$A$2:$A$43)),"-")</f>
        <v>66700.388888888891</v>
      </c>
      <c r="I82" s="108">
        <f>IFERROR(INDEX(lifespans_all!I$80:I$126,MATCH($A82,lifespans_all!$A$80:$A$126,0))*INDEX(SR_mission_minutes!I$2:I$43,MATCH($A82,SR_mission_minutes!$A$2:$A$43)),"-")</f>
        <v>66700.388888888891</v>
      </c>
      <c r="J82" s="108">
        <f>IFERROR(INDEX(lifespans_all!J$80:J$126,MATCH($A82,lifespans_all!$A$80:$A$126,0))*INDEX(SR_mission_minutes!J$2:J$43,MATCH($A82,SR_mission_minutes!$A$2:$A$43)),"-")</f>
        <v>0</v>
      </c>
      <c r="K82" s="108">
        <f>IFERROR(INDEX(lifespans_all!K$80:K$126,MATCH($A82,lifespans_all!$A$80:$A$126,0))*INDEX(SR_mission_minutes!K$2:K$43,MATCH($A82,SR_mission_minutes!$A$2:$A$43)),"-")</f>
        <v>0</v>
      </c>
      <c r="L82" s="108">
        <f>IFERROR(INDEX(lifespans_all!L$80:L$126,MATCH($A82,lifespans_all!$A$80:$A$126,0))*INDEX(SR_mission_minutes!L$2:L$43,MATCH($A82,SR_mission_minutes!$A$2:$A$43)),"-")</f>
        <v>0</v>
      </c>
      <c r="M82" s="108">
        <f>IFERROR(INDEX(lifespans_all!M$80:M$126,MATCH($A82,lifespans_all!$A$80:$A$126,0))*INDEX(SR_mission_minutes!M$2:M$43,MATCH($A82,SR_mission_minutes!$A$2:$A$43)),"-")</f>
        <v>0</v>
      </c>
      <c r="N82" s="108">
        <f>IFERROR(INDEX(lifespans_all!N$80:N$126,MATCH($A82,lifespans_all!$A$80:$A$126,0))*INDEX(SR_mission_minutes!N$2:N$43,MATCH($A82,SR_mission_minutes!$A$2:$A$43)),"-")</f>
        <v>0</v>
      </c>
      <c r="O82" s="108">
        <f>IFERROR(INDEX(lifespans_all!O$80:O$126,MATCH($A82,lifespans_all!$A$80:$A$126,0))*INDEX(SR_mission_minutes!O$2:O$43,MATCH($A82,SR_mission_minutes!$A$2:$A$43)),"-")</f>
        <v>0</v>
      </c>
      <c r="P82" s="108">
        <f>IFERROR(INDEX(lifespans_all!P$80:P$126,MATCH($A82,lifespans_all!$A$80:$A$126,0))*INDEX(SR_mission_minutes!P$2:P$43,MATCH($A82,SR_mission_minutes!$A$2:$A$43)),"-")</f>
        <v>0</v>
      </c>
      <c r="Q82" s="108">
        <f>IFERROR(INDEX(lifespans_all!Q$80:Q$126,MATCH($A82,lifespans_all!$A$80:$A$126,0))*INDEX(SR_mission_minutes!Q$2:Q$43,MATCH($A82,SR_mission_minutes!$A$2:$A$43)),"-")</f>
        <v>0</v>
      </c>
      <c r="R82" s="108">
        <f>IFERROR(INDEX(lifespans_all!R$80:R$126,MATCH($A82,lifespans_all!$A$80:$A$126,0))*INDEX(SR_mission_minutes!R$2:R$43,MATCH($A82,SR_mission_minutes!$A$2:$A$43)),"-")</f>
        <v>0</v>
      </c>
      <c r="S82" s="108">
        <f>IFERROR(INDEX(lifespans_all!S$80:S$126,MATCH($A82,lifespans_all!$A$80:$A$126,0))*INDEX(SR_mission_minutes!S$2:S$43,MATCH($A82,SR_mission_minutes!$A$2:$A$43)),"-")</f>
        <v>0</v>
      </c>
      <c r="T82" s="108">
        <f>IFERROR(INDEX(lifespans_all!T$80:T$126,MATCH($A82,lifespans_all!$A$80:$A$126,0))*INDEX(SR_mission_minutes!T$2:T$43,MATCH($A82,SR_mission_minutes!$A$2:$A$43)),"-")</f>
        <v>0</v>
      </c>
      <c r="U82" s="108">
        <f>IFERROR(INDEX(lifespans_all!U$80:U$126,MATCH($A82,lifespans_all!$A$80:$A$126,0))*INDEX(SR_mission_minutes!U$2:U$43,MATCH($A82,SR_mission_minutes!$A$2:$A$43)),"-")</f>
        <v>0</v>
      </c>
      <c r="V82" s="108">
        <f>IFERROR(INDEX(lifespans_all!V$80:V$126,MATCH($A82,lifespans_all!$A$80:$A$126,0))*INDEX(SR_mission_minutes!V$2:V$43,MATCH($A82,SR_mission_minutes!$A$2:$A$43)),"-")</f>
        <v>0</v>
      </c>
    </row>
    <row r="83" spans="1:22" x14ac:dyDescent="0.25">
      <c r="A83" s="32" t="s">
        <v>20</v>
      </c>
      <c r="B83" s="32" t="s">
        <v>41</v>
      </c>
      <c r="C83" s="108">
        <f>IFERROR(INDEX(lifespans_all!C$80:C$126,MATCH($A83,lifespans_all!$A$80:$A$126,0))*INDEX(SR_mission_minutes!C$2:C$43,MATCH($A83,SR_mission_minutes!$A$2:$A$43)),"-")</f>
        <v>66700.388888888891</v>
      </c>
      <c r="D83" s="108">
        <f>IFERROR(INDEX(lifespans_all!D$80:D$126,MATCH($A83,lifespans_all!$A$80:$A$126,0))*INDEX(SR_mission_minutes!D$2:D$43,MATCH($A83,SR_mission_minutes!$A$2:$A$43)),"-")</f>
        <v>66700.388888888891</v>
      </c>
      <c r="E83" s="108">
        <f>IFERROR(INDEX(lifespans_all!E$80:E$126,MATCH($A83,lifespans_all!$A$80:$A$126,0))*INDEX(SR_mission_minutes!E$2:E$43,MATCH($A83,SR_mission_minutes!$A$2:$A$43)),"-")</f>
        <v>66700.388888888891</v>
      </c>
      <c r="F83" s="108">
        <f>IFERROR(INDEX(lifespans_all!F$80:F$126,MATCH($A83,lifespans_all!$A$80:$A$126,0))*INDEX(SR_mission_minutes!F$2:F$43,MATCH($A83,SR_mission_minutes!$A$2:$A$43)),"-")</f>
        <v>66700.388888888891</v>
      </c>
      <c r="G83" s="108">
        <f>IFERROR(INDEX(lifespans_all!G$80:G$126,MATCH($A83,lifespans_all!$A$80:$A$126,0))*INDEX(SR_mission_minutes!G$2:G$43,MATCH($A83,SR_mission_minutes!$A$2:$A$43)),"-")</f>
        <v>66700.388888888891</v>
      </c>
      <c r="H83" s="108">
        <f>IFERROR(INDEX(lifespans_all!H$80:H$126,MATCH($A83,lifespans_all!$A$80:$A$126,0))*INDEX(SR_mission_minutes!H$2:H$43,MATCH($A83,SR_mission_minutes!$A$2:$A$43)),"-")</f>
        <v>66700.388888888891</v>
      </c>
      <c r="I83" s="108">
        <f>IFERROR(INDEX(lifespans_all!I$80:I$126,MATCH($A83,lifespans_all!$A$80:$A$126,0))*INDEX(SR_mission_minutes!I$2:I$43,MATCH($A83,SR_mission_minutes!$A$2:$A$43)),"-")</f>
        <v>66700.388888888891</v>
      </c>
      <c r="J83" s="108">
        <f>IFERROR(INDEX(lifespans_all!J$80:J$126,MATCH($A83,lifespans_all!$A$80:$A$126,0))*INDEX(SR_mission_minutes!J$2:J$43,MATCH($A83,SR_mission_minutes!$A$2:$A$43)),"-")</f>
        <v>66700.388888888891</v>
      </c>
      <c r="K83" s="108">
        <f>IFERROR(INDEX(lifespans_all!K$80:K$126,MATCH($A83,lifespans_all!$A$80:$A$126,0))*INDEX(SR_mission_minutes!K$2:K$43,MATCH($A83,SR_mission_minutes!$A$2:$A$43)),"-")</f>
        <v>66700.388888888891</v>
      </c>
      <c r="L83" s="108">
        <f>IFERROR(INDEX(lifespans_all!L$80:L$126,MATCH($A83,lifespans_all!$A$80:$A$126,0))*INDEX(SR_mission_minutes!L$2:L$43,MATCH($A83,SR_mission_minutes!$A$2:$A$43)),"-")</f>
        <v>66700.388888888891</v>
      </c>
      <c r="M83" s="108">
        <f>IFERROR(INDEX(lifespans_all!M$80:M$126,MATCH($A83,lifespans_all!$A$80:$A$126,0))*INDEX(SR_mission_minutes!M$2:M$43,MATCH($A83,SR_mission_minutes!$A$2:$A$43)),"-")</f>
        <v>66700.388888888891</v>
      </c>
      <c r="N83" s="108">
        <f>IFERROR(INDEX(lifespans_all!N$80:N$126,MATCH($A83,lifespans_all!$A$80:$A$126,0))*INDEX(SR_mission_minutes!N$2:N$43,MATCH($A83,SR_mission_minutes!$A$2:$A$43)),"-")</f>
        <v>66700.388888888891</v>
      </c>
      <c r="O83" s="108">
        <f>IFERROR(INDEX(lifespans_all!O$80:O$126,MATCH($A83,lifespans_all!$A$80:$A$126,0))*INDEX(SR_mission_minutes!O$2:O$43,MATCH($A83,SR_mission_minutes!$A$2:$A$43)),"-")</f>
        <v>66700.388888888891</v>
      </c>
      <c r="P83" s="108">
        <f>IFERROR(INDEX(lifespans_all!P$80:P$126,MATCH($A83,lifespans_all!$A$80:$A$126,0))*INDEX(SR_mission_minutes!P$2:P$43,MATCH($A83,SR_mission_minutes!$A$2:$A$43)),"-")</f>
        <v>66700.388888888891</v>
      </c>
      <c r="Q83" s="108">
        <f>IFERROR(INDEX(lifespans_all!Q$80:Q$126,MATCH($A83,lifespans_all!$A$80:$A$126,0))*INDEX(SR_mission_minutes!Q$2:Q$43,MATCH($A83,SR_mission_minutes!$A$2:$A$43)),"-")</f>
        <v>66700.388888888891</v>
      </c>
      <c r="R83" s="108">
        <f>IFERROR(INDEX(lifespans_all!R$80:R$126,MATCH($A83,lifespans_all!$A$80:$A$126,0))*INDEX(SR_mission_minutes!R$2:R$43,MATCH($A83,SR_mission_minutes!$A$2:$A$43)),"-")</f>
        <v>66700.388888888891</v>
      </c>
      <c r="S83" s="108">
        <f>IFERROR(INDEX(lifespans_all!S$80:S$126,MATCH($A83,lifespans_all!$A$80:$A$126,0))*INDEX(SR_mission_minutes!S$2:S$43,MATCH($A83,SR_mission_minutes!$A$2:$A$43)),"-")</f>
        <v>66700.388888888891</v>
      </c>
      <c r="T83" s="108">
        <f>IFERROR(INDEX(lifespans_all!T$80:T$126,MATCH($A83,lifespans_all!$A$80:$A$126,0))*INDEX(SR_mission_minutes!T$2:T$43,MATCH($A83,SR_mission_minutes!$A$2:$A$43)),"-")</f>
        <v>66700.388888888891</v>
      </c>
      <c r="U83" s="108">
        <f>IFERROR(INDEX(lifespans_all!U$80:U$126,MATCH($A83,lifespans_all!$A$80:$A$126,0))*INDEX(SR_mission_minutes!U$2:U$43,MATCH($A83,SR_mission_minutes!$A$2:$A$43)),"-")</f>
        <v>66700.388888888891</v>
      </c>
      <c r="V83" s="108">
        <f>IFERROR(INDEX(lifespans_all!V$80:V$126,MATCH($A83,lifespans_all!$A$80:$A$126,0))*INDEX(SR_mission_minutes!V$2:V$43,MATCH($A83,SR_mission_minutes!$A$2:$A$43)),"-")</f>
        <v>66700.388888888891</v>
      </c>
    </row>
    <row r="84" spans="1:22" x14ac:dyDescent="0.25">
      <c r="A84" s="32" t="s">
        <v>21</v>
      </c>
      <c r="B84" s="32" t="s">
        <v>41</v>
      </c>
      <c r="C84" s="108">
        <f>IFERROR(INDEX(lifespans_all!C$80:C$126,MATCH($A84,lifespans_all!$A$80:$A$126,0))*INDEX(SR_mission_minutes!C$2:C$43,MATCH($A84,SR_mission_minutes!$A$2:$A$43)),"-")</f>
        <v>66700.388888888891</v>
      </c>
      <c r="D84" s="108">
        <f>IFERROR(INDEX(lifespans_all!D$80:D$126,MATCH($A84,lifespans_all!$A$80:$A$126,0))*INDEX(SR_mission_minutes!D$2:D$43,MATCH($A84,SR_mission_minutes!$A$2:$A$43)),"-")</f>
        <v>66700.388888888891</v>
      </c>
      <c r="E84" s="108">
        <f>IFERROR(INDEX(lifespans_all!E$80:E$126,MATCH($A84,lifespans_all!$A$80:$A$126,0))*INDEX(SR_mission_minutes!E$2:E$43,MATCH($A84,SR_mission_minutes!$A$2:$A$43)),"-")</f>
        <v>66700.388888888891</v>
      </c>
      <c r="F84" s="108">
        <f>IFERROR(INDEX(lifespans_all!F$80:F$126,MATCH($A84,lifespans_all!$A$80:$A$126,0))*INDEX(SR_mission_minutes!F$2:F$43,MATCH($A84,SR_mission_minutes!$A$2:$A$43)),"-")</f>
        <v>66700.388888888891</v>
      </c>
      <c r="G84" s="108">
        <f>IFERROR(INDEX(lifespans_all!G$80:G$126,MATCH($A84,lifespans_all!$A$80:$A$126,0))*INDEX(SR_mission_minutes!G$2:G$43,MATCH($A84,SR_mission_minutes!$A$2:$A$43)),"-")</f>
        <v>66700.388888888891</v>
      </c>
      <c r="H84" s="108">
        <f>IFERROR(INDEX(lifespans_all!H$80:H$126,MATCH($A84,lifespans_all!$A$80:$A$126,0))*INDEX(SR_mission_minutes!H$2:H$43,MATCH($A84,SR_mission_minutes!$A$2:$A$43)),"-")</f>
        <v>0</v>
      </c>
      <c r="I84" s="108">
        <f>IFERROR(INDEX(lifespans_all!I$80:I$126,MATCH($A84,lifespans_all!$A$80:$A$126,0))*INDEX(SR_mission_minutes!I$2:I$43,MATCH($A84,SR_mission_minutes!$A$2:$A$43)),"-")</f>
        <v>0</v>
      </c>
      <c r="J84" s="108">
        <f>IFERROR(INDEX(lifespans_all!J$80:J$126,MATCH($A84,lifespans_all!$A$80:$A$126,0))*INDEX(SR_mission_minutes!J$2:J$43,MATCH($A84,SR_mission_minutes!$A$2:$A$43)),"-")</f>
        <v>0</v>
      </c>
      <c r="K84" s="108">
        <f>IFERROR(INDEX(lifespans_all!K$80:K$126,MATCH($A84,lifespans_all!$A$80:$A$126,0))*INDEX(SR_mission_minutes!K$2:K$43,MATCH($A84,SR_mission_minutes!$A$2:$A$43)),"-")</f>
        <v>0</v>
      </c>
      <c r="L84" s="108">
        <f>IFERROR(INDEX(lifespans_all!L$80:L$126,MATCH($A84,lifespans_all!$A$80:$A$126,0))*INDEX(SR_mission_minutes!L$2:L$43,MATCH($A84,SR_mission_minutes!$A$2:$A$43)),"-")</f>
        <v>0</v>
      </c>
      <c r="M84" s="108">
        <f>IFERROR(INDEX(lifespans_all!M$80:M$126,MATCH($A84,lifespans_all!$A$80:$A$126,0))*INDEX(SR_mission_minutes!M$2:M$43,MATCH($A84,SR_mission_minutes!$A$2:$A$43)),"-")</f>
        <v>0</v>
      </c>
      <c r="N84" s="108">
        <f>IFERROR(INDEX(lifespans_all!N$80:N$126,MATCH($A84,lifespans_all!$A$80:$A$126,0))*INDEX(SR_mission_minutes!N$2:N$43,MATCH($A84,SR_mission_minutes!$A$2:$A$43)),"-")</f>
        <v>0</v>
      </c>
      <c r="O84" s="108">
        <f>IFERROR(INDEX(lifespans_all!O$80:O$126,MATCH($A84,lifespans_all!$A$80:$A$126,0))*INDEX(SR_mission_minutes!O$2:O$43,MATCH($A84,SR_mission_minutes!$A$2:$A$43)),"-")</f>
        <v>0</v>
      </c>
      <c r="P84" s="108">
        <f>IFERROR(INDEX(lifespans_all!P$80:P$126,MATCH($A84,lifespans_all!$A$80:$A$126,0))*INDEX(SR_mission_minutes!P$2:P$43,MATCH($A84,SR_mission_minutes!$A$2:$A$43)),"-")</f>
        <v>0</v>
      </c>
      <c r="Q84" s="108">
        <f>IFERROR(INDEX(lifespans_all!Q$80:Q$126,MATCH($A84,lifespans_all!$A$80:$A$126,0))*INDEX(SR_mission_minutes!Q$2:Q$43,MATCH($A84,SR_mission_minutes!$A$2:$A$43)),"-")</f>
        <v>0</v>
      </c>
      <c r="R84" s="108">
        <f>IFERROR(INDEX(lifespans_all!R$80:R$126,MATCH($A84,lifespans_all!$A$80:$A$126,0))*INDEX(SR_mission_minutes!R$2:R$43,MATCH($A84,SR_mission_minutes!$A$2:$A$43)),"-")</f>
        <v>0</v>
      </c>
      <c r="S84" s="108">
        <f>IFERROR(INDEX(lifespans_all!S$80:S$126,MATCH($A84,lifespans_all!$A$80:$A$126,0))*INDEX(SR_mission_minutes!S$2:S$43,MATCH($A84,SR_mission_minutes!$A$2:$A$43)),"-")</f>
        <v>0</v>
      </c>
      <c r="T84" s="108">
        <f>IFERROR(INDEX(lifespans_all!T$80:T$126,MATCH($A84,lifespans_all!$A$80:$A$126,0))*INDEX(SR_mission_minutes!T$2:T$43,MATCH($A84,SR_mission_minutes!$A$2:$A$43)),"-")</f>
        <v>0</v>
      </c>
      <c r="U84" s="108">
        <f>IFERROR(INDEX(lifespans_all!U$80:U$126,MATCH($A84,lifespans_all!$A$80:$A$126,0))*INDEX(SR_mission_minutes!U$2:U$43,MATCH($A84,SR_mission_minutes!$A$2:$A$43)),"-")</f>
        <v>0</v>
      </c>
      <c r="V84" s="108">
        <f>IFERROR(INDEX(lifespans_all!V$80:V$126,MATCH($A84,lifespans_all!$A$80:$A$126,0))*INDEX(SR_mission_minutes!V$2:V$43,MATCH($A84,SR_mission_minutes!$A$2:$A$43)),"-")</f>
        <v>0</v>
      </c>
    </row>
    <row r="85" spans="1:22" x14ac:dyDescent="0.25">
      <c r="A85" s="32" t="s">
        <v>57</v>
      </c>
      <c r="B85" s="32" t="s">
        <v>41</v>
      </c>
      <c r="C85" s="108">
        <f>IFERROR(INDEX(lifespans_all!C$80:C$126,MATCH($A85,lifespans_all!$A$80:$A$126,0))*INDEX(SR_mission_minutes!C$2:C$43,MATCH($A85,SR_mission_minutes!$A$2:$A$43)),"-")</f>
        <v>66700.388888888891</v>
      </c>
      <c r="D85" s="108">
        <f>IFERROR(INDEX(lifespans_all!D$80:D$126,MATCH($A85,lifespans_all!$A$80:$A$126,0))*INDEX(SR_mission_minutes!D$2:D$43,MATCH($A85,SR_mission_minutes!$A$2:$A$43)),"-")</f>
        <v>66700.388888888891</v>
      </c>
      <c r="E85" s="108">
        <f>IFERROR(INDEX(lifespans_all!E$80:E$126,MATCH($A85,lifespans_all!$A$80:$A$126,0))*INDEX(SR_mission_minutes!E$2:E$43,MATCH($A85,SR_mission_minutes!$A$2:$A$43)),"-")</f>
        <v>66700.388888888891</v>
      </c>
      <c r="F85" s="108">
        <f>IFERROR(INDEX(lifespans_all!F$80:F$126,MATCH($A85,lifespans_all!$A$80:$A$126,0))*INDEX(SR_mission_minutes!F$2:F$43,MATCH($A85,SR_mission_minutes!$A$2:$A$43)),"-")</f>
        <v>66700.388888888891</v>
      </c>
      <c r="G85" s="108">
        <f>IFERROR(INDEX(lifespans_all!G$80:G$126,MATCH($A85,lifespans_all!$A$80:$A$126,0))*INDEX(SR_mission_minutes!G$2:G$43,MATCH($A85,SR_mission_minutes!$A$2:$A$43)),"-")</f>
        <v>66700.388888888891</v>
      </c>
      <c r="H85" s="108">
        <f>IFERROR(INDEX(lifespans_all!H$80:H$126,MATCH($A85,lifespans_all!$A$80:$A$126,0))*INDEX(SR_mission_minutes!H$2:H$43,MATCH($A85,SR_mission_minutes!$A$2:$A$43)),"-")</f>
        <v>0</v>
      </c>
      <c r="I85" s="108">
        <f>IFERROR(INDEX(lifespans_all!I$80:I$126,MATCH($A85,lifespans_all!$A$80:$A$126,0))*INDEX(SR_mission_minutes!I$2:I$43,MATCH($A85,SR_mission_minutes!$A$2:$A$43)),"-")</f>
        <v>0</v>
      </c>
      <c r="J85" s="108">
        <f>IFERROR(INDEX(lifespans_all!J$80:J$126,MATCH($A85,lifespans_all!$A$80:$A$126,0))*INDEX(SR_mission_minutes!J$2:J$43,MATCH($A85,SR_mission_minutes!$A$2:$A$43)),"-")</f>
        <v>0</v>
      </c>
      <c r="K85" s="108">
        <f>IFERROR(INDEX(lifespans_all!K$80:K$126,MATCH($A85,lifespans_all!$A$80:$A$126,0))*INDEX(SR_mission_minutes!K$2:K$43,MATCH($A85,SR_mission_minutes!$A$2:$A$43)),"-")</f>
        <v>0</v>
      </c>
      <c r="L85" s="108">
        <f>IFERROR(INDEX(lifespans_all!L$80:L$126,MATCH($A85,lifespans_all!$A$80:$A$126,0))*INDEX(SR_mission_minutes!L$2:L$43,MATCH($A85,SR_mission_minutes!$A$2:$A$43)),"-")</f>
        <v>0</v>
      </c>
      <c r="M85" s="108">
        <f>IFERROR(INDEX(lifespans_all!M$80:M$126,MATCH($A85,lifespans_all!$A$80:$A$126,0))*INDEX(SR_mission_minutes!M$2:M$43,MATCH($A85,SR_mission_minutes!$A$2:$A$43)),"-")</f>
        <v>0</v>
      </c>
      <c r="N85" s="108">
        <f>IFERROR(INDEX(lifespans_all!N$80:N$126,MATCH($A85,lifespans_all!$A$80:$A$126,0))*INDEX(SR_mission_minutes!N$2:N$43,MATCH($A85,SR_mission_minutes!$A$2:$A$43)),"-")</f>
        <v>0</v>
      </c>
      <c r="O85" s="108">
        <f>IFERROR(INDEX(lifespans_all!O$80:O$126,MATCH($A85,lifespans_all!$A$80:$A$126,0))*INDEX(SR_mission_minutes!O$2:O$43,MATCH($A85,SR_mission_minutes!$A$2:$A$43)),"-")</f>
        <v>0</v>
      </c>
      <c r="P85" s="108">
        <f>IFERROR(INDEX(lifespans_all!P$80:P$126,MATCH($A85,lifespans_all!$A$80:$A$126,0))*INDEX(SR_mission_minutes!P$2:P$43,MATCH($A85,SR_mission_minutes!$A$2:$A$43)),"-")</f>
        <v>0</v>
      </c>
      <c r="Q85" s="108">
        <f>IFERROR(INDEX(lifespans_all!Q$80:Q$126,MATCH($A85,lifespans_all!$A$80:$A$126,0))*INDEX(SR_mission_minutes!Q$2:Q$43,MATCH($A85,SR_mission_minutes!$A$2:$A$43)),"-")</f>
        <v>0</v>
      </c>
      <c r="R85" s="108">
        <f>IFERROR(INDEX(lifespans_all!R$80:R$126,MATCH($A85,lifespans_all!$A$80:$A$126,0))*INDEX(SR_mission_minutes!R$2:R$43,MATCH($A85,SR_mission_minutes!$A$2:$A$43)),"-")</f>
        <v>0</v>
      </c>
      <c r="S85" s="108">
        <f>IFERROR(INDEX(lifespans_all!S$80:S$126,MATCH($A85,lifespans_all!$A$80:$A$126,0))*INDEX(SR_mission_minutes!S$2:S$43,MATCH($A85,SR_mission_minutes!$A$2:$A$43)),"-")</f>
        <v>0</v>
      </c>
      <c r="T85" s="108">
        <f>IFERROR(INDEX(lifespans_all!T$80:T$126,MATCH($A85,lifespans_all!$A$80:$A$126,0))*INDEX(SR_mission_minutes!T$2:T$43,MATCH($A85,SR_mission_minutes!$A$2:$A$43)),"-")</f>
        <v>0</v>
      </c>
      <c r="U85" s="108">
        <f>IFERROR(INDEX(lifespans_all!U$80:U$126,MATCH($A85,lifespans_all!$A$80:$A$126,0))*INDEX(SR_mission_minutes!U$2:U$43,MATCH($A85,SR_mission_minutes!$A$2:$A$43)),"-")</f>
        <v>0</v>
      </c>
      <c r="V85" s="108">
        <f>IFERROR(INDEX(lifespans_all!V$80:V$126,MATCH($A85,lifespans_all!$A$80:$A$126,0))*INDEX(SR_mission_minutes!V$2:V$43,MATCH($A85,SR_mission_minutes!$A$2:$A$43)),"-")</f>
        <v>0</v>
      </c>
    </row>
    <row r="86" spans="1:22" x14ac:dyDescent="0.25">
      <c r="A86" s="32" t="s">
        <v>22</v>
      </c>
      <c r="B86" s="32" t="s">
        <v>41</v>
      </c>
      <c r="C86" s="108">
        <f>IFERROR(INDEX(lifespans_all!C$80:C$126,MATCH($A86,lifespans_all!$A$80:$A$126,0))*INDEX(SR_mission_minutes!C$2:C$43,MATCH($A86,SR_mission_minutes!$A$2:$A$43)),"-")</f>
        <v>66700.388888888891</v>
      </c>
      <c r="D86" s="108">
        <f>IFERROR(INDEX(lifespans_all!D$80:D$126,MATCH($A86,lifespans_all!$A$80:$A$126,0))*INDEX(SR_mission_minutes!D$2:D$43,MATCH($A86,SR_mission_minutes!$A$2:$A$43)),"-")</f>
        <v>66700.388888888891</v>
      </c>
      <c r="E86" s="108">
        <f>IFERROR(INDEX(lifespans_all!E$80:E$126,MATCH($A86,lifespans_all!$A$80:$A$126,0))*INDEX(SR_mission_minutes!E$2:E$43,MATCH($A86,SR_mission_minutes!$A$2:$A$43)),"-")</f>
        <v>66700.388888888891</v>
      </c>
      <c r="F86" s="108">
        <f>IFERROR(INDEX(lifespans_all!F$80:F$126,MATCH($A86,lifespans_all!$A$80:$A$126,0))*INDEX(SR_mission_minutes!F$2:F$43,MATCH($A86,SR_mission_minutes!$A$2:$A$43)),"-")</f>
        <v>66700.388888888891</v>
      </c>
      <c r="G86" s="108">
        <f>IFERROR(INDEX(lifespans_all!G$80:G$126,MATCH($A86,lifespans_all!$A$80:$A$126,0))*INDEX(SR_mission_minutes!G$2:G$43,MATCH($A86,SR_mission_minutes!$A$2:$A$43)),"-")</f>
        <v>0</v>
      </c>
      <c r="H86" s="108">
        <f>IFERROR(INDEX(lifespans_all!H$80:H$126,MATCH($A86,lifespans_all!$A$80:$A$126,0))*INDEX(SR_mission_minutes!H$2:H$43,MATCH($A86,SR_mission_minutes!$A$2:$A$43)),"-")</f>
        <v>0</v>
      </c>
      <c r="I86" s="108">
        <f>IFERROR(INDEX(lifespans_all!I$80:I$126,MATCH($A86,lifespans_all!$A$80:$A$126,0))*INDEX(SR_mission_minutes!I$2:I$43,MATCH($A86,SR_mission_minutes!$A$2:$A$43)),"-")</f>
        <v>0</v>
      </c>
      <c r="J86" s="108">
        <f>IFERROR(INDEX(lifespans_all!J$80:J$126,MATCH($A86,lifespans_all!$A$80:$A$126,0))*INDEX(SR_mission_minutes!J$2:J$43,MATCH($A86,SR_mission_minutes!$A$2:$A$43)),"-")</f>
        <v>0</v>
      </c>
      <c r="K86" s="108">
        <f>IFERROR(INDEX(lifespans_all!K$80:K$126,MATCH($A86,lifespans_all!$A$80:$A$126,0))*INDEX(SR_mission_minutes!K$2:K$43,MATCH($A86,SR_mission_minutes!$A$2:$A$43)),"-")</f>
        <v>0</v>
      </c>
      <c r="L86" s="108">
        <f>IFERROR(INDEX(lifespans_all!L$80:L$126,MATCH($A86,lifespans_all!$A$80:$A$126,0))*INDEX(SR_mission_minutes!L$2:L$43,MATCH($A86,SR_mission_minutes!$A$2:$A$43)),"-")</f>
        <v>0</v>
      </c>
      <c r="M86" s="108">
        <f>IFERROR(INDEX(lifespans_all!M$80:M$126,MATCH($A86,lifespans_all!$A$80:$A$126,0))*INDEX(SR_mission_minutes!M$2:M$43,MATCH($A86,SR_mission_minutes!$A$2:$A$43)),"-")</f>
        <v>0</v>
      </c>
      <c r="N86" s="108">
        <f>IFERROR(INDEX(lifespans_all!N$80:N$126,MATCH($A86,lifespans_all!$A$80:$A$126,0))*INDEX(SR_mission_minutes!N$2:N$43,MATCH($A86,SR_mission_minutes!$A$2:$A$43)),"-")</f>
        <v>0</v>
      </c>
      <c r="O86" s="108">
        <f>IFERROR(INDEX(lifespans_all!O$80:O$126,MATCH($A86,lifespans_all!$A$80:$A$126,0))*INDEX(SR_mission_minutes!O$2:O$43,MATCH($A86,SR_mission_minutes!$A$2:$A$43)),"-")</f>
        <v>0</v>
      </c>
      <c r="P86" s="108">
        <f>IFERROR(INDEX(lifespans_all!P$80:P$126,MATCH($A86,lifespans_all!$A$80:$A$126,0))*INDEX(SR_mission_minutes!P$2:P$43,MATCH($A86,SR_mission_minutes!$A$2:$A$43)),"-")</f>
        <v>0</v>
      </c>
      <c r="Q86" s="108">
        <f>IFERROR(INDEX(lifespans_all!Q$80:Q$126,MATCH($A86,lifespans_all!$A$80:$A$126,0))*INDEX(SR_mission_minutes!Q$2:Q$43,MATCH($A86,SR_mission_minutes!$A$2:$A$43)),"-")</f>
        <v>0</v>
      </c>
      <c r="R86" s="108">
        <f>IFERROR(INDEX(lifespans_all!R$80:R$126,MATCH($A86,lifespans_all!$A$80:$A$126,0))*INDEX(SR_mission_minutes!R$2:R$43,MATCH($A86,SR_mission_minutes!$A$2:$A$43)),"-")</f>
        <v>0</v>
      </c>
      <c r="S86" s="108">
        <f>IFERROR(INDEX(lifespans_all!S$80:S$126,MATCH($A86,lifespans_all!$A$80:$A$126,0))*INDEX(SR_mission_minutes!S$2:S$43,MATCH($A86,SR_mission_minutes!$A$2:$A$43)),"-")</f>
        <v>0</v>
      </c>
      <c r="T86" s="108">
        <f>IFERROR(INDEX(lifespans_all!T$80:T$126,MATCH($A86,lifespans_all!$A$80:$A$126,0))*INDEX(SR_mission_minutes!T$2:T$43,MATCH($A86,SR_mission_minutes!$A$2:$A$43)),"-")</f>
        <v>0</v>
      </c>
      <c r="U86" s="108">
        <f>IFERROR(INDEX(lifespans_all!U$80:U$126,MATCH($A86,lifespans_all!$A$80:$A$126,0))*INDEX(SR_mission_minutes!U$2:U$43,MATCH($A86,SR_mission_minutes!$A$2:$A$43)),"-")</f>
        <v>0</v>
      </c>
      <c r="V86" s="108">
        <f>IFERROR(INDEX(lifespans_all!V$80:V$126,MATCH($A86,lifespans_all!$A$80:$A$126,0))*INDEX(SR_mission_minutes!V$2:V$43,MATCH($A86,SR_mission_minutes!$A$2:$A$43)),"-")</f>
        <v>0</v>
      </c>
    </row>
    <row r="87" spans="1:22" x14ac:dyDescent="0.25">
      <c r="A87" s="32" t="s">
        <v>23</v>
      </c>
      <c r="B87" s="32" t="s">
        <v>43</v>
      </c>
      <c r="C87" s="108">
        <f>IFERROR(INDEX(lifespans_all!C$80:C$126,MATCH($A87,lifespans_all!$A$80:$A$126,0))*INDEX(SR_mission_minutes!C$2:C$43,MATCH($A87,SR_mission_minutes!$A$2:$A$43)),"-")</f>
        <v>114879</v>
      </c>
      <c r="D87" s="108">
        <f>IFERROR(INDEX(lifespans_all!D$80:D$126,MATCH($A87,lifespans_all!$A$80:$A$126,0))*INDEX(SR_mission_minutes!D$2:D$43,MATCH($A87,SR_mission_minutes!$A$2:$A$43)),"-")</f>
        <v>114879</v>
      </c>
      <c r="E87" s="108">
        <f>IFERROR(INDEX(lifespans_all!E$80:E$126,MATCH($A87,lifespans_all!$A$80:$A$126,0))*INDEX(SR_mission_minutes!E$2:E$43,MATCH($A87,SR_mission_minutes!$A$2:$A$43)),"-")</f>
        <v>114879</v>
      </c>
      <c r="F87" s="108">
        <f>IFERROR(INDEX(lifespans_all!F$80:F$126,MATCH($A87,lifespans_all!$A$80:$A$126,0))*INDEX(SR_mission_minutes!F$2:F$43,MATCH($A87,SR_mission_minutes!$A$2:$A$43)),"-")</f>
        <v>114879</v>
      </c>
      <c r="G87" s="108">
        <f>IFERROR(INDEX(lifespans_all!G$80:G$126,MATCH($A87,lifespans_all!$A$80:$A$126,0))*INDEX(SR_mission_minutes!G$2:G$43,MATCH($A87,SR_mission_minutes!$A$2:$A$43)),"-")</f>
        <v>114879</v>
      </c>
      <c r="H87" s="108">
        <f>IFERROR(INDEX(lifespans_all!H$80:H$126,MATCH($A87,lifespans_all!$A$80:$A$126,0))*INDEX(SR_mission_minutes!H$2:H$43,MATCH($A87,SR_mission_minutes!$A$2:$A$43)),"-")</f>
        <v>114879</v>
      </c>
      <c r="I87" s="108">
        <f>IFERROR(INDEX(lifespans_all!I$80:I$126,MATCH($A87,lifespans_all!$A$80:$A$126,0))*INDEX(SR_mission_minutes!I$2:I$43,MATCH($A87,SR_mission_minutes!$A$2:$A$43)),"-")</f>
        <v>114879</v>
      </c>
      <c r="J87" s="108">
        <f>IFERROR(INDEX(lifespans_all!J$80:J$126,MATCH($A87,lifespans_all!$A$80:$A$126,0))*INDEX(SR_mission_minutes!J$2:J$43,MATCH($A87,SR_mission_minutes!$A$2:$A$43)),"-")</f>
        <v>114879</v>
      </c>
      <c r="K87" s="108">
        <f>IFERROR(INDEX(lifespans_all!K$80:K$126,MATCH($A87,lifespans_all!$A$80:$A$126,0))*INDEX(SR_mission_minutes!K$2:K$43,MATCH($A87,SR_mission_minutes!$A$2:$A$43)),"-")</f>
        <v>114879</v>
      </c>
      <c r="L87" s="108">
        <f>IFERROR(INDEX(lifespans_all!L$80:L$126,MATCH($A87,lifespans_all!$A$80:$A$126,0))*INDEX(SR_mission_minutes!L$2:L$43,MATCH($A87,SR_mission_minutes!$A$2:$A$43)),"-")</f>
        <v>114879</v>
      </c>
      <c r="M87" s="108">
        <f>IFERROR(INDEX(lifespans_all!M$80:M$126,MATCH($A87,lifespans_all!$A$80:$A$126,0))*INDEX(SR_mission_minutes!M$2:M$43,MATCH($A87,SR_mission_minutes!$A$2:$A$43)),"-")</f>
        <v>0</v>
      </c>
      <c r="N87" s="108">
        <f>IFERROR(INDEX(lifespans_all!N$80:N$126,MATCH($A87,lifespans_all!$A$80:$A$126,0))*INDEX(SR_mission_minutes!N$2:N$43,MATCH($A87,SR_mission_minutes!$A$2:$A$43)),"-")</f>
        <v>0</v>
      </c>
      <c r="O87" s="108">
        <f>IFERROR(INDEX(lifespans_all!O$80:O$126,MATCH($A87,lifespans_all!$A$80:$A$126,0))*INDEX(SR_mission_minutes!O$2:O$43,MATCH($A87,SR_mission_minutes!$A$2:$A$43)),"-")</f>
        <v>0</v>
      </c>
      <c r="P87" s="108">
        <f>IFERROR(INDEX(lifespans_all!P$80:P$126,MATCH($A87,lifespans_all!$A$80:$A$126,0))*INDEX(SR_mission_minutes!P$2:P$43,MATCH($A87,SR_mission_minutes!$A$2:$A$43)),"-")</f>
        <v>0</v>
      </c>
      <c r="Q87" s="108">
        <f>IFERROR(INDEX(lifespans_all!Q$80:Q$126,MATCH($A87,lifespans_all!$A$80:$A$126,0))*INDEX(SR_mission_minutes!Q$2:Q$43,MATCH($A87,SR_mission_minutes!$A$2:$A$43)),"-")</f>
        <v>0</v>
      </c>
      <c r="R87" s="108">
        <f>IFERROR(INDEX(lifespans_all!R$80:R$126,MATCH($A87,lifespans_all!$A$80:$A$126,0))*INDEX(SR_mission_minutes!R$2:R$43,MATCH($A87,SR_mission_minutes!$A$2:$A$43)),"-")</f>
        <v>0</v>
      </c>
      <c r="S87" s="108">
        <f>IFERROR(INDEX(lifespans_all!S$80:S$126,MATCH($A87,lifespans_all!$A$80:$A$126,0))*INDEX(SR_mission_minutes!S$2:S$43,MATCH($A87,SR_mission_minutes!$A$2:$A$43)),"-")</f>
        <v>0</v>
      </c>
      <c r="T87" s="108">
        <f>IFERROR(INDEX(lifespans_all!T$80:T$126,MATCH($A87,lifespans_all!$A$80:$A$126,0))*INDEX(SR_mission_minutes!T$2:T$43,MATCH($A87,SR_mission_minutes!$A$2:$A$43)),"-")</f>
        <v>0</v>
      </c>
      <c r="U87" s="108">
        <f>IFERROR(INDEX(lifespans_all!U$80:U$126,MATCH($A87,lifespans_all!$A$80:$A$126,0))*INDEX(SR_mission_minutes!U$2:U$43,MATCH($A87,SR_mission_minutes!$A$2:$A$43)),"-")</f>
        <v>0</v>
      </c>
      <c r="V87" s="108">
        <f>IFERROR(INDEX(lifespans_all!V$80:V$126,MATCH($A87,lifespans_all!$A$80:$A$126,0))*INDEX(SR_mission_minutes!V$2:V$43,MATCH($A87,SR_mission_minutes!$A$2:$A$43)),"-")</f>
        <v>0</v>
      </c>
    </row>
    <row r="88" spans="1:22" x14ac:dyDescent="0.25">
      <c r="A88" s="32" t="s">
        <v>24</v>
      </c>
      <c r="B88" s="32" t="s">
        <v>42</v>
      </c>
      <c r="C88" s="108">
        <f>IFERROR(INDEX(lifespans_all!C$80:C$126,MATCH($A88,lifespans_all!$A$80:$A$126,0))*INDEX(SR_mission_minutes!C$2:C$43,MATCH($A88,SR_mission_minutes!$A$2:$A$43)),"-")</f>
        <v>0</v>
      </c>
      <c r="D88" s="108">
        <f>IFERROR(INDEX(lifespans_all!D$80:D$126,MATCH($A88,lifespans_all!$A$80:$A$126,0))*INDEX(SR_mission_minutes!D$2:D$43,MATCH($A88,SR_mission_minutes!$A$2:$A$43)),"-")</f>
        <v>0</v>
      </c>
      <c r="E88" s="108">
        <f>IFERROR(INDEX(lifespans_all!E$80:E$126,MATCH($A88,lifespans_all!$A$80:$A$126,0))*INDEX(SR_mission_minutes!E$2:E$43,MATCH($A88,SR_mission_minutes!$A$2:$A$43)),"-")</f>
        <v>0</v>
      </c>
      <c r="F88" s="108">
        <f>IFERROR(INDEX(lifespans_all!F$80:F$126,MATCH($A88,lifespans_all!$A$80:$A$126,0))*INDEX(SR_mission_minutes!F$2:F$43,MATCH($A88,SR_mission_minutes!$A$2:$A$43)),"-")</f>
        <v>0</v>
      </c>
      <c r="G88" s="108">
        <f>IFERROR(INDEX(lifespans_all!G$80:G$126,MATCH($A88,lifespans_all!$A$80:$A$126,0))*INDEX(SR_mission_minutes!G$2:G$43,MATCH($A88,SR_mission_minutes!$A$2:$A$43)),"-")</f>
        <v>0</v>
      </c>
      <c r="H88" s="108">
        <f>IFERROR(INDEX(lifespans_all!H$80:H$126,MATCH($A88,lifespans_all!$A$80:$A$126,0))*INDEX(SR_mission_minutes!H$2:H$43,MATCH($A88,SR_mission_minutes!$A$2:$A$43)),"-")</f>
        <v>0</v>
      </c>
      <c r="I88" s="108">
        <f>IFERROR(INDEX(lifespans_all!I$80:I$126,MATCH($A88,lifespans_all!$A$80:$A$126,0))*INDEX(SR_mission_minutes!I$2:I$43,MATCH($A88,SR_mission_minutes!$A$2:$A$43)),"-")</f>
        <v>0</v>
      </c>
      <c r="J88" s="108">
        <f>IFERROR(INDEX(lifespans_all!J$80:J$126,MATCH($A88,lifespans_all!$A$80:$A$126,0))*INDEX(SR_mission_minutes!J$2:J$43,MATCH($A88,SR_mission_minutes!$A$2:$A$43)),"-")</f>
        <v>0</v>
      </c>
      <c r="K88" s="108">
        <f>IFERROR(INDEX(lifespans_all!K$80:K$126,MATCH($A88,lifespans_all!$A$80:$A$126,0))*INDEX(SR_mission_minutes!K$2:K$43,MATCH($A88,SR_mission_minutes!$A$2:$A$43)),"-")</f>
        <v>0</v>
      </c>
      <c r="L88" s="108">
        <f>IFERROR(INDEX(lifespans_all!L$80:L$126,MATCH($A88,lifespans_all!$A$80:$A$126,0))*INDEX(SR_mission_minutes!L$2:L$43,MATCH($A88,SR_mission_minutes!$A$2:$A$43)),"-")</f>
        <v>0</v>
      </c>
      <c r="M88" s="108">
        <f>IFERROR(INDEX(lifespans_all!M$80:M$126,MATCH($A88,lifespans_all!$A$80:$A$126,0))*INDEX(SR_mission_minutes!M$2:M$43,MATCH($A88,SR_mission_minutes!$A$2:$A$43)),"-")</f>
        <v>0</v>
      </c>
      <c r="N88" s="108">
        <f>IFERROR(INDEX(lifespans_all!N$80:N$126,MATCH($A88,lifespans_all!$A$80:$A$126,0))*INDEX(SR_mission_minutes!N$2:N$43,MATCH($A88,SR_mission_minutes!$A$2:$A$43)),"-")</f>
        <v>0</v>
      </c>
      <c r="O88" s="108">
        <f>IFERROR(INDEX(lifespans_all!O$80:O$126,MATCH($A88,lifespans_all!$A$80:$A$126,0))*INDEX(SR_mission_minutes!O$2:O$43,MATCH($A88,SR_mission_minutes!$A$2:$A$43)),"-")</f>
        <v>0</v>
      </c>
      <c r="P88" s="108">
        <f>IFERROR(INDEX(lifespans_all!P$80:P$126,MATCH($A88,lifespans_all!$A$80:$A$126,0))*INDEX(SR_mission_minutes!P$2:P$43,MATCH($A88,SR_mission_minutes!$A$2:$A$43)),"-")</f>
        <v>0</v>
      </c>
      <c r="Q88" s="108">
        <f>IFERROR(INDEX(lifespans_all!Q$80:Q$126,MATCH($A88,lifespans_all!$A$80:$A$126,0))*INDEX(SR_mission_minutes!Q$2:Q$43,MATCH($A88,SR_mission_minutes!$A$2:$A$43)),"-")</f>
        <v>0</v>
      </c>
      <c r="R88" s="108">
        <f>IFERROR(INDEX(lifespans_all!R$80:R$126,MATCH($A88,lifespans_all!$A$80:$A$126,0))*INDEX(SR_mission_minutes!R$2:R$43,MATCH($A88,SR_mission_minutes!$A$2:$A$43)),"-")</f>
        <v>0</v>
      </c>
      <c r="S88" s="108">
        <f>IFERROR(INDEX(lifespans_all!S$80:S$126,MATCH($A88,lifespans_all!$A$80:$A$126,0))*INDEX(SR_mission_minutes!S$2:S$43,MATCH($A88,SR_mission_minutes!$A$2:$A$43)),"-")</f>
        <v>0</v>
      </c>
      <c r="T88" s="108">
        <f>IFERROR(INDEX(lifespans_all!T$80:T$126,MATCH($A88,lifespans_all!$A$80:$A$126,0))*INDEX(SR_mission_minutes!T$2:T$43,MATCH($A88,SR_mission_minutes!$A$2:$A$43)),"-")</f>
        <v>0</v>
      </c>
      <c r="U88" s="108">
        <f>IFERROR(INDEX(lifespans_all!U$80:U$126,MATCH($A88,lifespans_all!$A$80:$A$126,0))*INDEX(SR_mission_minutes!U$2:U$43,MATCH($A88,SR_mission_minutes!$A$2:$A$43)),"-")</f>
        <v>0</v>
      </c>
      <c r="V88" s="108">
        <f>IFERROR(INDEX(lifespans_all!V$80:V$126,MATCH($A88,lifespans_all!$A$80:$A$126,0))*INDEX(SR_mission_minutes!V$2:V$43,MATCH($A88,SR_mission_minutes!$A$2:$A$43)),"-")</f>
        <v>0</v>
      </c>
    </row>
    <row r="89" spans="1:22" x14ac:dyDescent="0.25">
      <c r="A89" s="32" t="s">
        <v>25</v>
      </c>
      <c r="B89" s="32" t="s">
        <v>44</v>
      </c>
      <c r="C89" s="108">
        <f>IFERROR(INDEX(lifespans_all!C$80:C$126,MATCH($A89,lifespans_all!$A$80:$A$126,0))*INDEX(SR_mission_minutes!C$2:C$43,MATCH($A89,SR_mission_minutes!$A$2:$A$43)),"-")</f>
        <v>460.5</v>
      </c>
      <c r="D89" s="108">
        <f>IFERROR(INDEX(lifespans_all!D$80:D$126,MATCH($A89,lifespans_all!$A$80:$A$126,0))*INDEX(SR_mission_minutes!D$2:D$43,MATCH($A89,SR_mission_minutes!$A$2:$A$43)),"-")</f>
        <v>460.5</v>
      </c>
      <c r="E89" s="108">
        <f>IFERROR(INDEX(lifespans_all!E$80:E$126,MATCH($A89,lifespans_all!$A$80:$A$126,0))*INDEX(SR_mission_minutes!E$2:E$43,MATCH($A89,SR_mission_minutes!$A$2:$A$43)),"-")</f>
        <v>460.5</v>
      </c>
      <c r="F89" s="108">
        <f>IFERROR(INDEX(lifespans_all!F$80:F$126,MATCH($A89,lifespans_all!$A$80:$A$126,0))*INDEX(SR_mission_minutes!F$2:F$43,MATCH($A89,SR_mission_minutes!$A$2:$A$43)),"-")</f>
        <v>460.5</v>
      </c>
      <c r="G89" s="108">
        <f>IFERROR(INDEX(lifespans_all!G$80:G$126,MATCH($A89,lifespans_all!$A$80:$A$126,0))*INDEX(SR_mission_minutes!G$2:G$43,MATCH($A89,SR_mission_minutes!$A$2:$A$43)),"-")</f>
        <v>0</v>
      </c>
      <c r="H89" s="108">
        <f>IFERROR(INDEX(lifespans_all!H$80:H$126,MATCH($A89,lifespans_all!$A$80:$A$126,0))*INDEX(SR_mission_minutes!H$2:H$43,MATCH($A89,SR_mission_minutes!$A$2:$A$43)),"-")</f>
        <v>0</v>
      </c>
      <c r="I89" s="108">
        <f>IFERROR(INDEX(lifespans_all!I$80:I$126,MATCH($A89,lifespans_all!$A$80:$A$126,0))*INDEX(SR_mission_minutes!I$2:I$43,MATCH($A89,SR_mission_minutes!$A$2:$A$43)),"-")</f>
        <v>0</v>
      </c>
      <c r="J89" s="108">
        <f>IFERROR(INDEX(lifespans_all!J$80:J$126,MATCH($A89,lifespans_all!$A$80:$A$126,0))*INDEX(SR_mission_minutes!J$2:J$43,MATCH($A89,SR_mission_minutes!$A$2:$A$43)),"-")</f>
        <v>0</v>
      </c>
      <c r="K89" s="108">
        <f>IFERROR(INDEX(lifespans_all!K$80:K$126,MATCH($A89,lifespans_all!$A$80:$A$126,0))*INDEX(SR_mission_minutes!K$2:K$43,MATCH($A89,SR_mission_minutes!$A$2:$A$43)),"-")</f>
        <v>0</v>
      </c>
      <c r="L89" s="108">
        <f>IFERROR(INDEX(lifespans_all!L$80:L$126,MATCH($A89,lifespans_all!$A$80:$A$126,0))*INDEX(SR_mission_minutes!L$2:L$43,MATCH($A89,SR_mission_minutes!$A$2:$A$43)),"-")</f>
        <v>0</v>
      </c>
      <c r="M89" s="108">
        <f>IFERROR(INDEX(lifespans_all!M$80:M$126,MATCH($A89,lifespans_all!$A$80:$A$126,0))*INDEX(SR_mission_minutes!M$2:M$43,MATCH($A89,SR_mission_minutes!$A$2:$A$43)),"-")</f>
        <v>0</v>
      </c>
      <c r="N89" s="108">
        <f>IFERROR(INDEX(lifespans_all!N$80:N$126,MATCH($A89,lifespans_all!$A$80:$A$126,0))*INDEX(SR_mission_minutes!N$2:N$43,MATCH($A89,SR_mission_minutes!$A$2:$A$43)),"-")</f>
        <v>0</v>
      </c>
      <c r="O89" s="108">
        <f>IFERROR(INDEX(lifespans_all!O$80:O$126,MATCH($A89,lifespans_all!$A$80:$A$126,0))*INDEX(SR_mission_minutes!O$2:O$43,MATCH($A89,SR_mission_minutes!$A$2:$A$43)),"-")</f>
        <v>0</v>
      </c>
      <c r="P89" s="108">
        <f>IFERROR(INDEX(lifespans_all!P$80:P$126,MATCH($A89,lifespans_all!$A$80:$A$126,0))*INDEX(SR_mission_minutes!P$2:P$43,MATCH($A89,SR_mission_minutes!$A$2:$A$43)),"-")</f>
        <v>0</v>
      </c>
      <c r="Q89" s="108">
        <f>IFERROR(INDEX(lifespans_all!Q$80:Q$126,MATCH($A89,lifespans_all!$A$80:$A$126,0))*INDEX(SR_mission_minutes!Q$2:Q$43,MATCH($A89,SR_mission_minutes!$A$2:$A$43)),"-")</f>
        <v>0</v>
      </c>
      <c r="R89" s="108">
        <f>IFERROR(INDEX(lifespans_all!R$80:R$126,MATCH($A89,lifespans_all!$A$80:$A$126,0))*INDEX(SR_mission_minutes!R$2:R$43,MATCH($A89,SR_mission_minutes!$A$2:$A$43)),"-")</f>
        <v>0</v>
      </c>
      <c r="S89" s="108">
        <f>IFERROR(INDEX(lifespans_all!S$80:S$126,MATCH($A89,lifespans_all!$A$80:$A$126,0))*INDEX(SR_mission_minutes!S$2:S$43,MATCH($A89,SR_mission_minutes!$A$2:$A$43)),"-")</f>
        <v>0</v>
      </c>
      <c r="T89" s="108">
        <f>IFERROR(INDEX(lifespans_all!T$80:T$126,MATCH($A89,lifespans_all!$A$80:$A$126,0))*INDEX(SR_mission_minutes!T$2:T$43,MATCH($A89,SR_mission_minutes!$A$2:$A$43)),"-")</f>
        <v>0</v>
      </c>
      <c r="U89" s="108">
        <f>IFERROR(INDEX(lifespans_all!U$80:U$126,MATCH($A89,lifespans_all!$A$80:$A$126,0))*INDEX(SR_mission_minutes!U$2:U$43,MATCH($A89,SR_mission_minutes!$A$2:$A$43)),"-")</f>
        <v>0</v>
      </c>
      <c r="V89" s="108">
        <f>IFERROR(INDEX(lifespans_all!V$80:V$126,MATCH($A89,lifespans_all!$A$80:$A$126,0))*INDEX(SR_mission_minutes!V$2:V$43,MATCH($A89,SR_mission_minutes!$A$2:$A$43)),"-")</f>
        <v>0</v>
      </c>
    </row>
    <row r="90" spans="1:22" x14ac:dyDescent="0.25">
      <c r="A90" s="32" t="s">
        <v>58</v>
      </c>
      <c r="B90" s="32" t="s">
        <v>41</v>
      </c>
      <c r="C90" s="108">
        <f>IFERROR(INDEX(lifespans_all!C$80:C$126,MATCH($A90,lifespans_all!$A$80:$A$126,0))*INDEX(SR_mission_minutes!C$2:C$43,MATCH($A90,SR_mission_minutes!$A$2:$A$43)),"-")</f>
        <v>66700.388888888891</v>
      </c>
      <c r="D90" s="108">
        <f>IFERROR(INDEX(lifespans_all!D$80:D$126,MATCH($A90,lifespans_all!$A$80:$A$126,0))*INDEX(SR_mission_minutes!D$2:D$43,MATCH($A90,SR_mission_minutes!$A$2:$A$43)),"-")</f>
        <v>0</v>
      </c>
      <c r="E90" s="108">
        <f>IFERROR(INDEX(lifespans_all!E$80:E$126,MATCH($A90,lifespans_all!$A$80:$A$126,0))*INDEX(SR_mission_minutes!E$2:E$43,MATCH($A90,SR_mission_minutes!$A$2:$A$43)),"-")</f>
        <v>0</v>
      </c>
      <c r="F90" s="108">
        <f>IFERROR(INDEX(lifespans_all!F$80:F$126,MATCH($A90,lifespans_all!$A$80:$A$126,0))*INDEX(SR_mission_minutes!F$2:F$43,MATCH($A90,SR_mission_minutes!$A$2:$A$43)),"-")</f>
        <v>0</v>
      </c>
      <c r="G90" s="108">
        <f>IFERROR(INDEX(lifespans_all!G$80:G$126,MATCH($A90,lifespans_all!$A$80:$A$126,0))*INDEX(SR_mission_minutes!G$2:G$43,MATCH($A90,SR_mission_minutes!$A$2:$A$43)),"-")</f>
        <v>0</v>
      </c>
      <c r="H90" s="108">
        <f>IFERROR(INDEX(lifespans_all!H$80:H$126,MATCH($A90,lifespans_all!$A$80:$A$126,0))*INDEX(SR_mission_minutes!H$2:H$43,MATCH($A90,SR_mission_minutes!$A$2:$A$43)),"-")</f>
        <v>0</v>
      </c>
      <c r="I90" s="108">
        <f>IFERROR(INDEX(lifespans_all!I$80:I$126,MATCH($A90,lifespans_all!$A$80:$A$126,0))*INDEX(SR_mission_minutes!I$2:I$43,MATCH($A90,SR_mission_minutes!$A$2:$A$43)),"-")</f>
        <v>0</v>
      </c>
      <c r="J90" s="108">
        <f>IFERROR(INDEX(lifespans_all!J$80:J$126,MATCH($A90,lifespans_all!$A$80:$A$126,0))*INDEX(SR_mission_minutes!J$2:J$43,MATCH($A90,SR_mission_minutes!$A$2:$A$43)),"-")</f>
        <v>0</v>
      </c>
      <c r="K90" s="108">
        <f>IFERROR(INDEX(lifespans_all!K$80:K$126,MATCH($A90,lifespans_all!$A$80:$A$126,0))*INDEX(SR_mission_minutes!K$2:K$43,MATCH($A90,SR_mission_minutes!$A$2:$A$43)),"-")</f>
        <v>0</v>
      </c>
      <c r="L90" s="108">
        <f>IFERROR(INDEX(lifespans_all!L$80:L$126,MATCH($A90,lifespans_all!$A$80:$A$126,0))*INDEX(SR_mission_minutes!L$2:L$43,MATCH($A90,SR_mission_minutes!$A$2:$A$43)),"-")</f>
        <v>0</v>
      </c>
      <c r="M90" s="108">
        <f>IFERROR(INDEX(lifespans_all!M$80:M$126,MATCH($A90,lifespans_all!$A$80:$A$126,0))*INDEX(SR_mission_minutes!M$2:M$43,MATCH($A90,SR_mission_minutes!$A$2:$A$43)),"-")</f>
        <v>0</v>
      </c>
      <c r="N90" s="108">
        <f>IFERROR(INDEX(lifespans_all!N$80:N$126,MATCH($A90,lifespans_all!$A$80:$A$126,0))*INDEX(SR_mission_minutes!N$2:N$43,MATCH($A90,SR_mission_minutes!$A$2:$A$43)),"-")</f>
        <v>0</v>
      </c>
      <c r="O90" s="108">
        <f>IFERROR(INDEX(lifespans_all!O$80:O$126,MATCH($A90,lifespans_all!$A$80:$A$126,0))*INDEX(SR_mission_minutes!O$2:O$43,MATCH($A90,SR_mission_minutes!$A$2:$A$43)),"-")</f>
        <v>0</v>
      </c>
      <c r="P90" s="108">
        <f>IFERROR(INDEX(lifespans_all!P$80:P$126,MATCH($A90,lifespans_all!$A$80:$A$126,0))*INDEX(SR_mission_minutes!P$2:P$43,MATCH($A90,SR_mission_minutes!$A$2:$A$43)),"-")</f>
        <v>0</v>
      </c>
      <c r="Q90" s="108">
        <f>IFERROR(INDEX(lifespans_all!Q$80:Q$126,MATCH($A90,lifespans_all!$A$80:$A$126,0))*INDEX(SR_mission_minutes!Q$2:Q$43,MATCH($A90,SR_mission_minutes!$A$2:$A$43)),"-")</f>
        <v>0</v>
      </c>
      <c r="R90" s="108">
        <f>IFERROR(INDEX(lifespans_all!R$80:R$126,MATCH($A90,lifespans_all!$A$80:$A$126,0))*INDEX(SR_mission_minutes!R$2:R$43,MATCH($A90,SR_mission_minutes!$A$2:$A$43)),"-")</f>
        <v>0</v>
      </c>
      <c r="S90" s="108">
        <f>IFERROR(INDEX(lifespans_all!S$80:S$126,MATCH($A90,lifespans_all!$A$80:$A$126,0))*INDEX(SR_mission_minutes!S$2:S$43,MATCH($A90,SR_mission_minutes!$A$2:$A$43)),"-")</f>
        <v>0</v>
      </c>
      <c r="T90" s="108">
        <f>IFERROR(INDEX(lifespans_all!T$80:T$126,MATCH($A90,lifespans_all!$A$80:$A$126,0))*INDEX(SR_mission_minutes!T$2:T$43,MATCH($A90,SR_mission_minutes!$A$2:$A$43)),"-")</f>
        <v>0</v>
      </c>
      <c r="U90" s="108">
        <f>IFERROR(INDEX(lifespans_all!U$80:U$126,MATCH($A90,lifespans_all!$A$80:$A$126,0))*INDEX(SR_mission_minutes!U$2:U$43,MATCH($A90,SR_mission_minutes!$A$2:$A$43)),"-")</f>
        <v>0</v>
      </c>
      <c r="V90" s="108">
        <f>IFERROR(INDEX(lifespans_all!V$80:V$126,MATCH($A90,lifespans_all!$A$80:$A$126,0))*INDEX(SR_mission_minutes!V$2:V$43,MATCH($A90,SR_mission_minutes!$A$2:$A$43)),"-")</f>
        <v>0</v>
      </c>
    </row>
    <row r="91" spans="1:22" x14ac:dyDescent="0.25">
      <c r="A91" s="32" t="s">
        <v>59</v>
      </c>
      <c r="B91" s="32" t="s">
        <v>41</v>
      </c>
      <c r="C91" s="108">
        <f>IFERROR(INDEX(lifespans_all!C$80:C$126,MATCH($A91,lifespans_all!$A$80:$A$126,0))*INDEX(SR_mission_minutes!C$2:C$43,MATCH($A91,SR_mission_minutes!$A$2:$A$43)),"-")</f>
        <v>66700.388888888891</v>
      </c>
      <c r="D91" s="108">
        <f>IFERROR(INDEX(lifespans_all!D$80:D$126,MATCH($A91,lifespans_all!$A$80:$A$126,0))*INDEX(SR_mission_minutes!D$2:D$43,MATCH($A91,SR_mission_minutes!$A$2:$A$43)),"-")</f>
        <v>66700.388888888891</v>
      </c>
      <c r="E91" s="108">
        <f>IFERROR(INDEX(lifespans_all!E$80:E$126,MATCH($A91,lifespans_all!$A$80:$A$126,0))*INDEX(SR_mission_minutes!E$2:E$43,MATCH($A91,SR_mission_minutes!$A$2:$A$43)),"-")</f>
        <v>66700.388888888891</v>
      </c>
      <c r="F91" s="108">
        <f>IFERROR(INDEX(lifespans_all!F$80:F$126,MATCH($A91,lifespans_all!$A$80:$A$126,0))*INDEX(SR_mission_minutes!F$2:F$43,MATCH($A91,SR_mission_minutes!$A$2:$A$43)),"-")</f>
        <v>0</v>
      </c>
      <c r="G91" s="108">
        <f>IFERROR(INDEX(lifespans_all!G$80:G$126,MATCH($A91,lifespans_all!$A$80:$A$126,0))*INDEX(SR_mission_minutes!G$2:G$43,MATCH($A91,SR_mission_minutes!$A$2:$A$43)),"-")</f>
        <v>0</v>
      </c>
      <c r="H91" s="108">
        <f>IFERROR(INDEX(lifespans_all!H$80:H$126,MATCH($A91,lifespans_all!$A$80:$A$126,0))*INDEX(SR_mission_minutes!H$2:H$43,MATCH($A91,SR_mission_minutes!$A$2:$A$43)),"-")</f>
        <v>0</v>
      </c>
      <c r="I91" s="108">
        <f>IFERROR(INDEX(lifespans_all!I$80:I$126,MATCH($A91,lifespans_all!$A$80:$A$126,0))*INDEX(SR_mission_minutes!I$2:I$43,MATCH($A91,SR_mission_minutes!$A$2:$A$43)),"-")</f>
        <v>0</v>
      </c>
      <c r="J91" s="108">
        <f>IFERROR(INDEX(lifespans_all!J$80:J$126,MATCH($A91,lifespans_all!$A$80:$A$126,0))*INDEX(SR_mission_minutes!J$2:J$43,MATCH($A91,SR_mission_minutes!$A$2:$A$43)),"-")</f>
        <v>0</v>
      </c>
      <c r="K91" s="108">
        <f>IFERROR(INDEX(lifespans_all!K$80:K$126,MATCH($A91,lifespans_all!$A$80:$A$126,0))*INDEX(SR_mission_minutes!K$2:K$43,MATCH($A91,SR_mission_minutes!$A$2:$A$43)),"-")</f>
        <v>0</v>
      </c>
      <c r="L91" s="108">
        <f>IFERROR(INDEX(lifespans_all!L$80:L$126,MATCH($A91,lifespans_all!$A$80:$A$126,0))*INDEX(SR_mission_minutes!L$2:L$43,MATCH($A91,SR_mission_minutes!$A$2:$A$43)),"-")</f>
        <v>0</v>
      </c>
      <c r="M91" s="108">
        <f>IFERROR(INDEX(lifespans_all!M$80:M$126,MATCH($A91,lifespans_all!$A$80:$A$126,0))*INDEX(SR_mission_minutes!M$2:M$43,MATCH($A91,SR_mission_minutes!$A$2:$A$43)),"-")</f>
        <v>0</v>
      </c>
      <c r="N91" s="108">
        <f>IFERROR(INDEX(lifespans_all!N$80:N$126,MATCH($A91,lifespans_all!$A$80:$A$126,0))*INDEX(SR_mission_minutes!N$2:N$43,MATCH($A91,SR_mission_minutes!$A$2:$A$43)),"-")</f>
        <v>0</v>
      </c>
      <c r="O91" s="108">
        <f>IFERROR(INDEX(lifespans_all!O$80:O$126,MATCH($A91,lifespans_all!$A$80:$A$126,0))*INDEX(SR_mission_minutes!O$2:O$43,MATCH($A91,SR_mission_minutes!$A$2:$A$43)),"-")</f>
        <v>0</v>
      </c>
      <c r="P91" s="108">
        <f>IFERROR(INDEX(lifespans_all!P$80:P$126,MATCH($A91,lifespans_all!$A$80:$A$126,0))*INDEX(SR_mission_minutes!P$2:P$43,MATCH($A91,SR_mission_minutes!$A$2:$A$43)),"-")</f>
        <v>0</v>
      </c>
      <c r="Q91" s="108">
        <f>IFERROR(INDEX(lifespans_all!Q$80:Q$126,MATCH($A91,lifespans_all!$A$80:$A$126,0))*INDEX(SR_mission_minutes!Q$2:Q$43,MATCH($A91,SR_mission_minutes!$A$2:$A$43)),"-")</f>
        <v>0</v>
      </c>
      <c r="R91" s="108">
        <f>IFERROR(INDEX(lifespans_all!R$80:R$126,MATCH($A91,lifespans_all!$A$80:$A$126,0))*INDEX(SR_mission_minutes!R$2:R$43,MATCH($A91,SR_mission_minutes!$A$2:$A$43)),"-")</f>
        <v>0</v>
      </c>
      <c r="S91" s="108">
        <f>IFERROR(INDEX(lifespans_all!S$80:S$126,MATCH($A91,lifespans_all!$A$80:$A$126,0))*INDEX(SR_mission_minutes!S$2:S$43,MATCH($A91,SR_mission_minutes!$A$2:$A$43)),"-")</f>
        <v>0</v>
      </c>
      <c r="T91" s="108">
        <f>IFERROR(INDEX(lifespans_all!T$80:T$126,MATCH($A91,lifespans_all!$A$80:$A$126,0))*INDEX(SR_mission_minutes!T$2:T$43,MATCH($A91,SR_mission_minutes!$A$2:$A$43)),"-")</f>
        <v>0</v>
      </c>
      <c r="U91" s="108">
        <f>IFERROR(INDEX(lifespans_all!U$80:U$126,MATCH($A91,lifespans_all!$A$80:$A$126,0))*INDEX(SR_mission_minutes!U$2:U$43,MATCH($A91,SR_mission_minutes!$A$2:$A$43)),"-")</f>
        <v>0</v>
      </c>
      <c r="V91" s="108">
        <f>IFERROR(INDEX(lifespans_all!V$80:V$126,MATCH($A91,lifespans_all!$A$80:$A$126,0))*INDEX(SR_mission_minutes!V$2:V$43,MATCH($A91,SR_mission_minutes!$A$2:$A$43)),"-")</f>
        <v>0</v>
      </c>
    </row>
    <row r="92" spans="1:22" x14ac:dyDescent="0.25">
      <c r="A92" s="32" t="s">
        <v>60</v>
      </c>
      <c r="B92" s="32" t="s">
        <v>41</v>
      </c>
      <c r="C92" s="108">
        <f>IFERROR(INDEX(lifespans_all!C$80:C$126,MATCH($A92,lifespans_all!$A$80:$A$126,0))*INDEX(SR_mission_minutes!C$2:C$43,MATCH($A92,SR_mission_minutes!$A$2:$A$43)),"-")</f>
        <v>66700.388888888891</v>
      </c>
      <c r="D92" s="108">
        <f>IFERROR(INDEX(lifespans_all!D$80:D$126,MATCH($A92,lifespans_all!$A$80:$A$126,0))*INDEX(SR_mission_minutes!D$2:D$43,MATCH($A92,SR_mission_minutes!$A$2:$A$43)),"-")</f>
        <v>66700.388888888891</v>
      </c>
      <c r="E92" s="108">
        <f>IFERROR(INDEX(lifespans_all!E$80:E$126,MATCH($A92,lifespans_all!$A$80:$A$126,0))*INDEX(SR_mission_minutes!E$2:E$43,MATCH($A92,SR_mission_minutes!$A$2:$A$43)),"-")</f>
        <v>66700.388888888891</v>
      </c>
      <c r="F92" s="108">
        <f>IFERROR(INDEX(lifespans_all!F$80:F$126,MATCH($A92,lifespans_all!$A$80:$A$126,0))*INDEX(SR_mission_minutes!F$2:F$43,MATCH($A92,SR_mission_minutes!$A$2:$A$43)),"-")</f>
        <v>66700.388888888891</v>
      </c>
      <c r="G92" s="108">
        <f>IFERROR(INDEX(lifespans_all!G$80:G$126,MATCH($A92,lifespans_all!$A$80:$A$126,0))*INDEX(SR_mission_minutes!G$2:G$43,MATCH($A92,SR_mission_minutes!$A$2:$A$43)),"-")</f>
        <v>66700.388888888891</v>
      </c>
      <c r="H92" s="108">
        <f>IFERROR(INDEX(lifespans_all!H$80:H$126,MATCH($A92,lifespans_all!$A$80:$A$126,0))*INDEX(SR_mission_minutes!H$2:H$43,MATCH($A92,SR_mission_minutes!$A$2:$A$43)),"-")</f>
        <v>66700.388888888891</v>
      </c>
      <c r="I92" s="108">
        <f>IFERROR(INDEX(lifespans_all!I$80:I$126,MATCH($A92,lifespans_all!$A$80:$A$126,0))*INDEX(SR_mission_minutes!I$2:I$43,MATCH($A92,SR_mission_minutes!$A$2:$A$43)),"-")</f>
        <v>0</v>
      </c>
      <c r="J92" s="108">
        <f>IFERROR(INDEX(lifespans_all!J$80:J$126,MATCH($A92,lifespans_all!$A$80:$A$126,0))*INDEX(SR_mission_minutes!J$2:J$43,MATCH($A92,SR_mission_minutes!$A$2:$A$43)),"-")</f>
        <v>0</v>
      </c>
      <c r="K92" s="108">
        <f>IFERROR(INDEX(lifespans_all!K$80:K$126,MATCH($A92,lifespans_all!$A$80:$A$126,0))*INDEX(SR_mission_minutes!K$2:K$43,MATCH($A92,SR_mission_minutes!$A$2:$A$43)),"-")</f>
        <v>0</v>
      </c>
      <c r="L92" s="108">
        <f>IFERROR(INDEX(lifespans_all!L$80:L$126,MATCH($A92,lifespans_all!$A$80:$A$126,0))*INDEX(SR_mission_minutes!L$2:L$43,MATCH($A92,SR_mission_minutes!$A$2:$A$43)),"-")</f>
        <v>0</v>
      </c>
      <c r="M92" s="108">
        <f>IFERROR(INDEX(lifespans_all!M$80:M$126,MATCH($A92,lifespans_all!$A$80:$A$126,0))*INDEX(SR_mission_minutes!M$2:M$43,MATCH($A92,SR_mission_minutes!$A$2:$A$43)),"-")</f>
        <v>0</v>
      </c>
      <c r="N92" s="108">
        <f>IFERROR(INDEX(lifespans_all!N$80:N$126,MATCH($A92,lifespans_all!$A$80:$A$126,0))*INDEX(SR_mission_minutes!N$2:N$43,MATCH($A92,SR_mission_minutes!$A$2:$A$43)),"-")</f>
        <v>0</v>
      </c>
      <c r="O92" s="108">
        <f>IFERROR(INDEX(lifespans_all!O$80:O$126,MATCH($A92,lifespans_all!$A$80:$A$126,0))*INDEX(SR_mission_minutes!O$2:O$43,MATCH($A92,SR_mission_minutes!$A$2:$A$43)),"-")</f>
        <v>0</v>
      </c>
      <c r="P92" s="108">
        <f>IFERROR(INDEX(lifespans_all!P$80:P$126,MATCH($A92,lifespans_all!$A$80:$A$126,0))*INDEX(SR_mission_minutes!P$2:P$43,MATCH($A92,SR_mission_minutes!$A$2:$A$43)),"-")</f>
        <v>0</v>
      </c>
      <c r="Q92" s="108">
        <f>IFERROR(INDEX(lifespans_all!Q$80:Q$126,MATCH($A92,lifespans_all!$A$80:$A$126,0))*INDEX(SR_mission_minutes!Q$2:Q$43,MATCH($A92,SR_mission_minutes!$A$2:$A$43)),"-")</f>
        <v>0</v>
      </c>
      <c r="R92" s="108">
        <f>IFERROR(INDEX(lifespans_all!R$80:R$126,MATCH($A92,lifespans_all!$A$80:$A$126,0))*INDEX(SR_mission_minutes!R$2:R$43,MATCH($A92,SR_mission_minutes!$A$2:$A$43)),"-")</f>
        <v>0</v>
      </c>
      <c r="S92" s="108">
        <f>IFERROR(INDEX(lifespans_all!S$80:S$126,MATCH($A92,lifespans_all!$A$80:$A$126,0))*INDEX(SR_mission_minutes!S$2:S$43,MATCH($A92,SR_mission_minutes!$A$2:$A$43)),"-")</f>
        <v>0</v>
      </c>
      <c r="T92" s="108">
        <f>IFERROR(INDEX(lifespans_all!T$80:T$126,MATCH($A92,lifespans_all!$A$80:$A$126,0))*INDEX(SR_mission_minutes!T$2:T$43,MATCH($A92,SR_mission_minutes!$A$2:$A$43)),"-")</f>
        <v>0</v>
      </c>
      <c r="U92" s="108">
        <f>IFERROR(INDEX(lifespans_all!U$80:U$126,MATCH($A92,lifespans_all!$A$80:$A$126,0))*INDEX(SR_mission_minutes!U$2:U$43,MATCH($A92,SR_mission_minutes!$A$2:$A$43)),"-")</f>
        <v>0</v>
      </c>
      <c r="V92" s="108">
        <f>IFERROR(INDEX(lifespans_all!V$80:V$126,MATCH($A92,lifespans_all!$A$80:$A$126,0))*INDEX(SR_mission_minutes!V$2:V$43,MATCH($A92,SR_mission_minutes!$A$2:$A$43)),"-")</f>
        <v>0</v>
      </c>
    </row>
    <row r="93" spans="1:22" x14ac:dyDescent="0.25">
      <c r="A93" s="32" t="s">
        <v>26</v>
      </c>
      <c r="B93" s="32" t="s">
        <v>45</v>
      </c>
      <c r="C93" s="108">
        <f>IFERROR(INDEX(lifespans_all!C$80:C$126,MATCH($A93,lifespans_all!$A$80:$A$126,0))*INDEX(SR_mission_minutes!C$2:C$43,MATCH($A93,SR_mission_minutes!$A$2:$A$43)),"-")</f>
        <v>33739.333333333336</v>
      </c>
      <c r="D93" s="108">
        <f>IFERROR(INDEX(lifespans_all!D$80:D$126,MATCH($A93,lifespans_all!$A$80:$A$126,0))*INDEX(SR_mission_minutes!D$2:D$43,MATCH($A93,SR_mission_minutes!$A$2:$A$43)),"-")</f>
        <v>33739.333333333336</v>
      </c>
      <c r="E93" s="108">
        <f>IFERROR(INDEX(lifespans_all!E$80:E$126,MATCH($A93,lifespans_all!$A$80:$A$126,0))*INDEX(SR_mission_minutes!E$2:E$43,MATCH($A93,SR_mission_minutes!$A$2:$A$43)),"-")</f>
        <v>33739.333333333336</v>
      </c>
      <c r="F93" s="108">
        <f>IFERROR(INDEX(lifespans_all!F$80:F$126,MATCH($A93,lifespans_all!$A$80:$A$126,0))*INDEX(SR_mission_minutes!F$2:F$43,MATCH($A93,SR_mission_minutes!$A$2:$A$43)),"-")</f>
        <v>33739.333333333336</v>
      </c>
      <c r="G93" s="108">
        <f>IFERROR(INDEX(lifespans_all!G$80:G$126,MATCH($A93,lifespans_all!$A$80:$A$126,0))*INDEX(SR_mission_minutes!G$2:G$43,MATCH($A93,SR_mission_minutes!$A$2:$A$43)),"-")</f>
        <v>33739.333333333336</v>
      </c>
      <c r="H93" s="108">
        <f>IFERROR(INDEX(lifespans_all!H$80:H$126,MATCH($A93,lifespans_all!$A$80:$A$126,0))*INDEX(SR_mission_minutes!H$2:H$43,MATCH($A93,SR_mission_minutes!$A$2:$A$43)),"-")</f>
        <v>33739.333333333336</v>
      </c>
      <c r="I93" s="108">
        <f>IFERROR(INDEX(lifespans_all!I$80:I$126,MATCH($A93,lifespans_all!$A$80:$A$126,0))*INDEX(SR_mission_minutes!I$2:I$43,MATCH($A93,SR_mission_minutes!$A$2:$A$43)),"-")</f>
        <v>33739.333333333336</v>
      </c>
      <c r="J93" s="108">
        <f>IFERROR(INDEX(lifespans_all!J$80:J$126,MATCH($A93,lifespans_all!$A$80:$A$126,0))*INDEX(SR_mission_minutes!J$2:J$43,MATCH($A93,SR_mission_minutes!$A$2:$A$43)),"-")</f>
        <v>33739.333333333336</v>
      </c>
      <c r="K93" s="108">
        <f>IFERROR(INDEX(lifespans_all!K$80:K$126,MATCH($A93,lifespans_all!$A$80:$A$126,0))*INDEX(SR_mission_minutes!K$2:K$43,MATCH($A93,SR_mission_minutes!$A$2:$A$43)),"-")</f>
        <v>33739.333333333336</v>
      </c>
      <c r="L93" s="108">
        <f>IFERROR(INDEX(lifespans_all!L$80:L$126,MATCH($A93,lifespans_all!$A$80:$A$126,0))*INDEX(SR_mission_minutes!L$2:L$43,MATCH($A93,SR_mission_minutes!$A$2:$A$43)),"-")</f>
        <v>33739.333333333336</v>
      </c>
      <c r="M93" s="108">
        <f>IFERROR(INDEX(lifespans_all!M$80:M$126,MATCH($A93,lifespans_all!$A$80:$A$126,0))*INDEX(SR_mission_minutes!M$2:M$43,MATCH($A93,SR_mission_minutes!$A$2:$A$43)),"-")</f>
        <v>33739.333333333336</v>
      </c>
      <c r="N93" s="108">
        <f>IFERROR(INDEX(lifespans_all!N$80:N$126,MATCH($A93,lifespans_all!$A$80:$A$126,0))*INDEX(SR_mission_minutes!N$2:N$43,MATCH($A93,SR_mission_minutes!$A$2:$A$43)),"-")</f>
        <v>33739.333333333336</v>
      </c>
      <c r="O93" s="108">
        <f>IFERROR(INDEX(lifespans_all!O$80:O$126,MATCH($A93,lifespans_all!$A$80:$A$126,0))*INDEX(SR_mission_minutes!O$2:O$43,MATCH($A93,SR_mission_minutes!$A$2:$A$43)),"-")</f>
        <v>33739.333333333336</v>
      </c>
      <c r="P93" s="108">
        <f>IFERROR(INDEX(lifespans_all!P$80:P$126,MATCH($A93,lifespans_all!$A$80:$A$126,0))*INDEX(SR_mission_minutes!P$2:P$43,MATCH($A93,SR_mission_minutes!$A$2:$A$43)),"-")</f>
        <v>33739.333333333336</v>
      </c>
      <c r="Q93" s="108">
        <f>IFERROR(INDEX(lifespans_all!Q$80:Q$126,MATCH($A93,lifespans_all!$A$80:$A$126,0))*INDEX(SR_mission_minutes!Q$2:Q$43,MATCH($A93,SR_mission_minutes!$A$2:$A$43)),"-")</f>
        <v>33739.333333333336</v>
      </c>
      <c r="R93" s="108">
        <f>IFERROR(INDEX(lifespans_all!R$80:R$126,MATCH($A93,lifespans_all!$A$80:$A$126,0))*INDEX(SR_mission_minutes!R$2:R$43,MATCH($A93,SR_mission_minutes!$A$2:$A$43)),"-")</f>
        <v>33739.333333333336</v>
      </c>
      <c r="S93" s="108">
        <f>IFERROR(INDEX(lifespans_all!S$80:S$126,MATCH($A93,lifespans_all!$A$80:$A$126,0))*INDEX(SR_mission_minutes!S$2:S$43,MATCH($A93,SR_mission_minutes!$A$2:$A$43)),"-")</f>
        <v>33739.333333333336</v>
      </c>
      <c r="T93" s="108">
        <f>IFERROR(INDEX(lifespans_all!T$80:T$126,MATCH($A93,lifespans_all!$A$80:$A$126,0))*INDEX(SR_mission_minutes!T$2:T$43,MATCH($A93,SR_mission_minutes!$A$2:$A$43)),"-")</f>
        <v>33739.333333333336</v>
      </c>
      <c r="U93" s="108">
        <f>IFERROR(INDEX(lifespans_all!U$80:U$126,MATCH($A93,lifespans_all!$A$80:$A$126,0))*INDEX(SR_mission_minutes!U$2:U$43,MATCH($A93,SR_mission_minutes!$A$2:$A$43)),"-")</f>
        <v>33739.333333333336</v>
      </c>
      <c r="V93" s="108">
        <f>IFERROR(INDEX(lifespans_all!V$80:V$126,MATCH($A93,lifespans_all!$A$80:$A$126,0))*INDEX(SR_mission_minutes!V$2:V$43,MATCH($A93,SR_mission_minutes!$A$2:$A$43)),"-")</f>
        <v>33739.333333333336</v>
      </c>
    </row>
    <row r="94" spans="1:22" x14ac:dyDescent="0.25">
      <c r="A94" s="32" t="s">
        <v>61</v>
      </c>
      <c r="B94" s="32" t="s">
        <v>42</v>
      </c>
      <c r="C94" s="108">
        <f>IFERROR(INDEX(lifespans_all!C$80:C$126,MATCH($A94,lifespans_all!$A$80:$A$126,0))*INDEX(SR_mission_minutes!C$2:C$43,MATCH($A94,SR_mission_minutes!$A$2:$A$43)),"-")</f>
        <v>2294</v>
      </c>
      <c r="D94" s="108">
        <f>IFERROR(INDEX(lifespans_all!D$80:D$126,MATCH($A94,lifespans_all!$A$80:$A$126,0))*INDEX(SR_mission_minutes!D$2:D$43,MATCH($A94,SR_mission_minutes!$A$2:$A$43)),"-")</f>
        <v>2294</v>
      </c>
      <c r="E94" s="108">
        <f>IFERROR(INDEX(lifespans_all!E$80:E$126,MATCH($A94,lifespans_all!$A$80:$A$126,0))*INDEX(SR_mission_minutes!E$2:E$43,MATCH($A94,SR_mission_minutes!$A$2:$A$43)),"-")</f>
        <v>2294</v>
      </c>
      <c r="F94" s="108">
        <f>IFERROR(INDEX(lifespans_all!F$80:F$126,MATCH($A94,lifespans_all!$A$80:$A$126,0))*INDEX(SR_mission_minutes!F$2:F$43,MATCH($A94,SR_mission_minutes!$A$2:$A$43)),"-")</f>
        <v>2294</v>
      </c>
      <c r="G94" s="108">
        <f>IFERROR(INDEX(lifespans_all!G$80:G$126,MATCH($A94,lifespans_all!$A$80:$A$126,0))*INDEX(SR_mission_minutes!G$2:G$43,MATCH($A94,SR_mission_minutes!$A$2:$A$43)),"-")</f>
        <v>2294</v>
      </c>
      <c r="H94" s="108">
        <f>IFERROR(INDEX(lifespans_all!H$80:H$126,MATCH($A94,lifespans_all!$A$80:$A$126,0))*INDEX(SR_mission_minutes!H$2:H$43,MATCH($A94,SR_mission_minutes!$A$2:$A$43)),"-")</f>
        <v>2294</v>
      </c>
      <c r="I94" s="108">
        <f>IFERROR(INDEX(lifespans_all!I$80:I$126,MATCH($A94,lifespans_all!$A$80:$A$126,0))*INDEX(SR_mission_minutes!I$2:I$43,MATCH($A94,SR_mission_minutes!$A$2:$A$43)),"-")</f>
        <v>2294</v>
      </c>
      <c r="J94" s="108">
        <f>IFERROR(INDEX(lifespans_all!J$80:J$126,MATCH($A94,lifespans_all!$A$80:$A$126,0))*INDEX(SR_mission_minutes!J$2:J$43,MATCH($A94,SR_mission_minutes!$A$2:$A$43)),"-")</f>
        <v>2294</v>
      </c>
      <c r="K94" s="108">
        <f>IFERROR(INDEX(lifespans_all!K$80:K$126,MATCH($A94,lifespans_all!$A$80:$A$126,0))*INDEX(SR_mission_minutes!K$2:K$43,MATCH($A94,SR_mission_minutes!$A$2:$A$43)),"-")</f>
        <v>2294</v>
      </c>
      <c r="L94" s="108">
        <f>IFERROR(INDEX(lifespans_all!L$80:L$126,MATCH($A94,lifespans_all!$A$80:$A$126,0))*INDEX(SR_mission_minutes!L$2:L$43,MATCH($A94,SR_mission_minutes!$A$2:$A$43)),"-")</f>
        <v>2294</v>
      </c>
      <c r="M94" s="108">
        <f>IFERROR(INDEX(lifespans_all!M$80:M$126,MATCH($A94,lifespans_all!$A$80:$A$126,0))*INDEX(SR_mission_minutes!M$2:M$43,MATCH($A94,SR_mission_minutes!$A$2:$A$43)),"-")</f>
        <v>2294</v>
      </c>
      <c r="N94" s="108">
        <f>IFERROR(INDEX(lifespans_all!N$80:N$126,MATCH($A94,lifespans_all!$A$80:$A$126,0))*INDEX(SR_mission_minutes!N$2:N$43,MATCH($A94,SR_mission_minutes!$A$2:$A$43)),"-")</f>
        <v>2294</v>
      </c>
      <c r="O94" s="108">
        <f>IFERROR(INDEX(lifespans_all!O$80:O$126,MATCH($A94,lifespans_all!$A$80:$A$126,0))*INDEX(SR_mission_minutes!O$2:O$43,MATCH($A94,SR_mission_minutes!$A$2:$A$43)),"-")</f>
        <v>2294</v>
      </c>
      <c r="P94" s="108">
        <f>IFERROR(INDEX(lifespans_all!P$80:P$126,MATCH($A94,lifespans_all!$A$80:$A$126,0))*INDEX(SR_mission_minutes!P$2:P$43,MATCH($A94,SR_mission_minutes!$A$2:$A$43)),"-")</f>
        <v>2294</v>
      </c>
      <c r="Q94" s="108">
        <f>IFERROR(INDEX(lifespans_all!Q$80:Q$126,MATCH($A94,lifespans_all!$A$80:$A$126,0))*INDEX(SR_mission_minutes!Q$2:Q$43,MATCH($A94,SR_mission_minutes!$A$2:$A$43)),"-")</f>
        <v>2294</v>
      </c>
      <c r="R94" s="108">
        <f>IFERROR(INDEX(lifespans_all!R$80:R$126,MATCH($A94,lifespans_all!$A$80:$A$126,0))*INDEX(SR_mission_minutes!R$2:R$43,MATCH($A94,SR_mission_minutes!$A$2:$A$43)),"-")</f>
        <v>2294</v>
      </c>
      <c r="S94" s="108">
        <f>IFERROR(INDEX(lifespans_all!S$80:S$126,MATCH($A94,lifespans_all!$A$80:$A$126,0))*INDEX(SR_mission_minutes!S$2:S$43,MATCH($A94,SR_mission_minutes!$A$2:$A$43)),"-")</f>
        <v>2294</v>
      </c>
      <c r="T94" s="108">
        <f>IFERROR(INDEX(lifespans_all!T$80:T$126,MATCH($A94,lifespans_all!$A$80:$A$126,0))*INDEX(SR_mission_minutes!T$2:T$43,MATCH($A94,SR_mission_minutes!$A$2:$A$43)),"-")</f>
        <v>2294</v>
      </c>
      <c r="U94" s="108">
        <f>IFERROR(INDEX(lifespans_all!U$80:U$126,MATCH($A94,lifespans_all!$A$80:$A$126,0))*INDEX(SR_mission_minutes!U$2:U$43,MATCH($A94,SR_mission_minutes!$A$2:$A$43)),"-")</f>
        <v>2294</v>
      </c>
      <c r="V94" s="108">
        <f>IFERROR(INDEX(lifespans_all!V$80:V$126,MATCH($A94,lifespans_all!$A$80:$A$126,0))*INDEX(SR_mission_minutes!V$2:V$43,MATCH($A94,SR_mission_minutes!$A$2:$A$43)),"-")</f>
        <v>2294</v>
      </c>
    </row>
    <row r="95" spans="1:22" x14ac:dyDescent="0.25">
      <c r="A95" s="32" t="s">
        <v>115</v>
      </c>
      <c r="B95" s="32" t="s">
        <v>40</v>
      </c>
      <c r="C95" s="108" t="str">
        <f>IFERROR(INDEX(lifespans_all!C$80:C$126,MATCH($A95,lifespans_all!$A$80:$A$126,0))*INDEX(SR_mission_minutes!C$2:C$43,MATCH($A95,SR_mission_minutes!$A$2:$A$43)),"-")</f>
        <v>-</v>
      </c>
      <c r="D95" s="108" t="str">
        <f>IFERROR(INDEX(lifespans_all!D$80:D$126,MATCH($A95,lifespans_all!$A$80:$A$126,0))*INDEX(SR_mission_minutes!D$2:D$43,MATCH($A95,SR_mission_minutes!$A$2:$A$43)),"-")</f>
        <v>-</v>
      </c>
      <c r="E95" s="108" t="str">
        <f>IFERROR(INDEX(lifespans_all!E$80:E$126,MATCH($A95,lifespans_all!$A$80:$A$126,0))*INDEX(SR_mission_minutes!E$2:E$43,MATCH($A95,SR_mission_minutes!$A$2:$A$43)),"-")</f>
        <v>-</v>
      </c>
      <c r="F95" s="108" t="str">
        <f>IFERROR(INDEX(lifespans_all!F$80:F$126,MATCH($A95,lifespans_all!$A$80:$A$126,0))*INDEX(SR_mission_minutes!F$2:F$43,MATCH($A95,SR_mission_minutes!$A$2:$A$43)),"-")</f>
        <v>-</v>
      </c>
      <c r="G95" s="108" t="str">
        <f>IFERROR(INDEX(lifespans_all!G$80:G$126,MATCH($A95,lifespans_all!$A$80:$A$126,0))*INDEX(SR_mission_minutes!G$2:G$43,MATCH($A95,SR_mission_minutes!$A$2:$A$43)),"-")</f>
        <v>-</v>
      </c>
      <c r="H95" s="108" t="str">
        <f>IFERROR(INDEX(lifespans_all!H$80:H$126,MATCH($A95,lifespans_all!$A$80:$A$126,0))*INDEX(SR_mission_minutes!H$2:H$43,MATCH($A95,SR_mission_minutes!$A$2:$A$43)),"-")</f>
        <v>-</v>
      </c>
      <c r="I95" s="108" t="str">
        <f>IFERROR(INDEX(lifespans_all!I$80:I$126,MATCH($A95,lifespans_all!$A$80:$A$126,0))*INDEX(SR_mission_minutes!I$2:I$43,MATCH($A95,SR_mission_minutes!$A$2:$A$43)),"-")</f>
        <v>-</v>
      </c>
      <c r="J95" s="108" t="str">
        <f>IFERROR(INDEX(lifespans_all!J$80:J$126,MATCH($A95,lifespans_all!$A$80:$A$126,0))*INDEX(SR_mission_minutes!J$2:J$43,MATCH($A95,SR_mission_minutes!$A$2:$A$43)),"-")</f>
        <v>-</v>
      </c>
      <c r="K95" s="108" t="str">
        <f>IFERROR(INDEX(lifespans_all!K$80:K$126,MATCH($A95,lifespans_all!$A$80:$A$126,0))*INDEX(SR_mission_minutes!K$2:K$43,MATCH($A95,SR_mission_minutes!$A$2:$A$43)),"-")</f>
        <v>-</v>
      </c>
      <c r="L95" s="108" t="str">
        <f>IFERROR(INDEX(lifespans_all!L$80:L$126,MATCH($A95,lifespans_all!$A$80:$A$126,0))*INDEX(SR_mission_minutes!L$2:L$43,MATCH($A95,SR_mission_minutes!$A$2:$A$43)),"-")</f>
        <v>-</v>
      </c>
      <c r="M95" s="108" t="str">
        <f>IFERROR(INDEX(lifespans_all!M$80:M$126,MATCH($A95,lifespans_all!$A$80:$A$126,0))*INDEX(SR_mission_minutes!M$2:M$43,MATCH($A95,SR_mission_minutes!$A$2:$A$43)),"-")</f>
        <v>-</v>
      </c>
      <c r="N95" s="108" t="str">
        <f>IFERROR(INDEX(lifespans_all!N$80:N$126,MATCH($A95,lifespans_all!$A$80:$A$126,0))*INDEX(SR_mission_minutes!N$2:N$43,MATCH($A95,SR_mission_minutes!$A$2:$A$43)),"-")</f>
        <v>-</v>
      </c>
      <c r="O95" s="108" t="str">
        <f>IFERROR(INDEX(lifespans_all!O$80:O$126,MATCH($A95,lifespans_all!$A$80:$A$126,0))*INDEX(SR_mission_minutes!O$2:O$43,MATCH($A95,SR_mission_minutes!$A$2:$A$43)),"-")</f>
        <v>-</v>
      </c>
      <c r="P95" s="108" t="str">
        <f>IFERROR(INDEX(lifespans_all!P$80:P$126,MATCH($A95,lifespans_all!$A$80:$A$126,0))*INDEX(SR_mission_minutes!P$2:P$43,MATCH($A95,SR_mission_minutes!$A$2:$A$43)),"-")</f>
        <v>-</v>
      </c>
      <c r="Q95" s="108" t="str">
        <f>IFERROR(INDEX(lifespans_all!Q$80:Q$126,MATCH($A95,lifespans_all!$A$80:$A$126,0))*INDEX(SR_mission_minutes!Q$2:Q$43,MATCH($A95,SR_mission_minutes!$A$2:$A$43)),"-")</f>
        <v>-</v>
      </c>
      <c r="R95" s="108" t="str">
        <f>IFERROR(INDEX(lifespans_all!R$80:R$126,MATCH($A95,lifespans_all!$A$80:$A$126,0))*INDEX(SR_mission_minutes!R$2:R$43,MATCH($A95,SR_mission_minutes!$A$2:$A$43)),"-")</f>
        <v>-</v>
      </c>
      <c r="S95" s="108" t="str">
        <f>IFERROR(INDEX(lifespans_all!S$80:S$126,MATCH($A95,lifespans_all!$A$80:$A$126,0))*INDEX(SR_mission_minutes!S$2:S$43,MATCH($A95,SR_mission_minutes!$A$2:$A$43)),"-")</f>
        <v>-</v>
      </c>
      <c r="T95" s="108" t="str">
        <f>IFERROR(INDEX(lifespans_all!T$80:T$126,MATCH($A95,lifespans_all!$A$80:$A$126,0))*INDEX(SR_mission_minutes!T$2:T$43,MATCH($A95,SR_mission_minutes!$A$2:$A$43)),"-")</f>
        <v>-</v>
      </c>
      <c r="U95" s="108" t="str">
        <f>IFERROR(INDEX(lifespans_all!U$80:U$126,MATCH($A95,lifespans_all!$A$80:$A$126,0))*INDEX(SR_mission_minutes!U$2:U$43,MATCH($A95,SR_mission_minutes!$A$2:$A$43)),"-")</f>
        <v>-</v>
      </c>
      <c r="V95" s="108" t="str">
        <f>IFERROR(INDEX(lifespans_all!V$80:V$126,MATCH($A95,lifespans_all!$A$80:$A$126,0))*INDEX(SR_mission_minutes!V$2:V$43,MATCH($A95,SR_mission_minutes!$A$2:$A$43)),"-")</f>
        <v>-</v>
      </c>
    </row>
    <row r="96" spans="1:22" x14ac:dyDescent="0.25">
      <c r="A96" s="32" t="s">
        <v>116</v>
      </c>
      <c r="B96" s="32" t="s">
        <v>40</v>
      </c>
      <c r="C96" s="108" t="str">
        <f>IFERROR(INDEX(lifespans_all!C$80:C$126,MATCH($A96,lifespans_all!$A$80:$A$126,0))*INDEX(SR_mission_minutes!C$2:C$43,MATCH($A96,SR_mission_minutes!$A$2:$A$43)),"-")</f>
        <v>-</v>
      </c>
      <c r="D96" s="108" t="str">
        <f>IFERROR(INDEX(lifespans_all!D$80:D$126,MATCH($A96,lifespans_all!$A$80:$A$126,0))*INDEX(SR_mission_minutes!D$2:D$43,MATCH($A96,SR_mission_minutes!$A$2:$A$43)),"-")</f>
        <v>-</v>
      </c>
      <c r="E96" s="108" t="str">
        <f>IFERROR(INDEX(lifespans_all!E$80:E$126,MATCH($A96,lifespans_all!$A$80:$A$126,0))*INDEX(SR_mission_minutes!E$2:E$43,MATCH($A96,SR_mission_minutes!$A$2:$A$43)),"-")</f>
        <v>-</v>
      </c>
      <c r="F96" s="108" t="str">
        <f>IFERROR(INDEX(lifespans_all!F$80:F$126,MATCH($A96,lifespans_all!$A$80:$A$126,0))*INDEX(SR_mission_minutes!F$2:F$43,MATCH($A96,SR_mission_minutes!$A$2:$A$43)),"-")</f>
        <v>-</v>
      </c>
      <c r="G96" s="108" t="str">
        <f>IFERROR(INDEX(lifespans_all!G$80:G$126,MATCH($A96,lifespans_all!$A$80:$A$126,0))*INDEX(SR_mission_minutes!G$2:G$43,MATCH($A96,SR_mission_minutes!$A$2:$A$43)),"-")</f>
        <v>-</v>
      </c>
      <c r="H96" s="108" t="str">
        <f>IFERROR(INDEX(lifespans_all!H$80:H$126,MATCH($A96,lifespans_all!$A$80:$A$126,0))*INDEX(SR_mission_minutes!H$2:H$43,MATCH($A96,SR_mission_minutes!$A$2:$A$43)),"-")</f>
        <v>-</v>
      </c>
      <c r="I96" s="108" t="str">
        <f>IFERROR(INDEX(lifespans_all!I$80:I$126,MATCH($A96,lifespans_all!$A$80:$A$126,0))*INDEX(SR_mission_minutes!I$2:I$43,MATCH($A96,SR_mission_minutes!$A$2:$A$43)),"-")</f>
        <v>-</v>
      </c>
      <c r="J96" s="108" t="str">
        <f>IFERROR(INDEX(lifespans_all!J$80:J$126,MATCH($A96,lifespans_all!$A$80:$A$126,0))*INDEX(SR_mission_minutes!J$2:J$43,MATCH($A96,SR_mission_minutes!$A$2:$A$43)),"-")</f>
        <v>-</v>
      </c>
      <c r="K96" s="108" t="str">
        <f>IFERROR(INDEX(lifespans_all!K$80:K$126,MATCH($A96,lifespans_all!$A$80:$A$126,0))*INDEX(SR_mission_minutes!K$2:K$43,MATCH($A96,SR_mission_minutes!$A$2:$A$43)),"-")</f>
        <v>-</v>
      </c>
      <c r="L96" s="108" t="str">
        <f>IFERROR(INDEX(lifespans_all!L$80:L$126,MATCH($A96,lifespans_all!$A$80:$A$126,0))*INDEX(SR_mission_minutes!L$2:L$43,MATCH($A96,SR_mission_minutes!$A$2:$A$43)),"-")</f>
        <v>-</v>
      </c>
      <c r="M96" s="108" t="str">
        <f>IFERROR(INDEX(lifespans_all!M$80:M$126,MATCH($A96,lifespans_all!$A$80:$A$126,0))*INDEX(SR_mission_minutes!M$2:M$43,MATCH($A96,SR_mission_minutes!$A$2:$A$43)),"-")</f>
        <v>-</v>
      </c>
      <c r="N96" s="108" t="str">
        <f>IFERROR(INDEX(lifespans_all!N$80:N$126,MATCH($A96,lifespans_all!$A$80:$A$126,0))*INDEX(SR_mission_minutes!N$2:N$43,MATCH($A96,SR_mission_minutes!$A$2:$A$43)),"-")</f>
        <v>-</v>
      </c>
      <c r="O96" s="108" t="str">
        <f>IFERROR(INDEX(lifespans_all!O$80:O$126,MATCH($A96,lifespans_all!$A$80:$A$126,0))*INDEX(SR_mission_minutes!O$2:O$43,MATCH($A96,SR_mission_minutes!$A$2:$A$43)),"-")</f>
        <v>-</v>
      </c>
      <c r="P96" s="108" t="str">
        <f>IFERROR(INDEX(lifespans_all!P$80:P$126,MATCH($A96,lifespans_all!$A$80:$A$126,0))*INDEX(SR_mission_minutes!P$2:P$43,MATCH($A96,SR_mission_minutes!$A$2:$A$43)),"-")</f>
        <v>-</v>
      </c>
      <c r="Q96" s="108" t="str">
        <f>IFERROR(INDEX(lifespans_all!Q$80:Q$126,MATCH($A96,lifespans_all!$A$80:$A$126,0))*INDEX(SR_mission_minutes!Q$2:Q$43,MATCH($A96,SR_mission_minutes!$A$2:$A$43)),"-")</f>
        <v>-</v>
      </c>
      <c r="R96" s="108" t="str">
        <f>IFERROR(INDEX(lifespans_all!R$80:R$126,MATCH($A96,lifespans_all!$A$80:$A$126,0))*INDEX(SR_mission_minutes!R$2:R$43,MATCH($A96,SR_mission_minutes!$A$2:$A$43)),"-")</f>
        <v>-</v>
      </c>
      <c r="S96" s="108" t="str">
        <f>IFERROR(INDEX(lifespans_all!S$80:S$126,MATCH($A96,lifespans_all!$A$80:$A$126,0))*INDEX(SR_mission_minutes!S$2:S$43,MATCH($A96,SR_mission_minutes!$A$2:$A$43)),"-")</f>
        <v>-</v>
      </c>
      <c r="T96" s="108" t="str">
        <f>IFERROR(INDEX(lifespans_all!T$80:T$126,MATCH($A96,lifespans_all!$A$80:$A$126,0))*INDEX(SR_mission_minutes!T$2:T$43,MATCH($A96,SR_mission_minutes!$A$2:$A$43)),"-")</f>
        <v>-</v>
      </c>
      <c r="U96" s="108" t="str">
        <f>IFERROR(INDEX(lifespans_all!U$80:U$126,MATCH($A96,lifespans_all!$A$80:$A$126,0))*INDEX(SR_mission_minutes!U$2:U$43,MATCH($A96,SR_mission_minutes!$A$2:$A$43)),"-")</f>
        <v>-</v>
      </c>
      <c r="V96" s="108" t="str">
        <f>IFERROR(INDEX(lifespans_all!V$80:V$126,MATCH($A96,lifespans_all!$A$80:$A$126,0))*INDEX(SR_mission_minutes!V$2:V$43,MATCH($A96,SR_mission_minutes!$A$2:$A$43)),"-")</f>
        <v>-</v>
      </c>
    </row>
    <row r="97" spans="1:22" x14ac:dyDescent="0.25">
      <c r="A97" s="32" t="s">
        <v>117</v>
      </c>
      <c r="B97" s="32" t="s">
        <v>40</v>
      </c>
      <c r="C97" s="108" t="str">
        <f>IFERROR(INDEX(lifespans_all!C$80:C$126,MATCH($A97,lifespans_all!$A$80:$A$126,0))*INDEX(SR_mission_minutes!C$2:C$43,MATCH($A97,SR_mission_minutes!$A$2:$A$43)),"-")</f>
        <v>-</v>
      </c>
      <c r="D97" s="108" t="str">
        <f>IFERROR(INDEX(lifespans_all!D$80:D$126,MATCH($A97,lifespans_all!$A$80:$A$126,0))*INDEX(SR_mission_minutes!D$2:D$43,MATCH($A97,SR_mission_minutes!$A$2:$A$43)),"-")</f>
        <v>-</v>
      </c>
      <c r="E97" s="108" t="str">
        <f>IFERROR(INDEX(lifespans_all!E$80:E$126,MATCH($A97,lifespans_all!$A$80:$A$126,0))*INDEX(SR_mission_minutes!E$2:E$43,MATCH($A97,SR_mission_minutes!$A$2:$A$43)),"-")</f>
        <v>-</v>
      </c>
      <c r="F97" s="108" t="str">
        <f>IFERROR(INDEX(lifespans_all!F$80:F$126,MATCH($A97,lifespans_all!$A$80:$A$126,0))*INDEX(SR_mission_minutes!F$2:F$43,MATCH($A97,SR_mission_minutes!$A$2:$A$43)),"-")</f>
        <v>-</v>
      </c>
      <c r="G97" s="108" t="str">
        <f>IFERROR(INDEX(lifespans_all!G$80:G$126,MATCH($A97,lifespans_all!$A$80:$A$126,0))*INDEX(SR_mission_minutes!G$2:G$43,MATCH($A97,SR_mission_minutes!$A$2:$A$43)),"-")</f>
        <v>-</v>
      </c>
      <c r="H97" s="108" t="str">
        <f>IFERROR(INDEX(lifespans_all!H$80:H$126,MATCH($A97,lifespans_all!$A$80:$A$126,0))*INDEX(SR_mission_minutes!H$2:H$43,MATCH($A97,SR_mission_minutes!$A$2:$A$43)),"-")</f>
        <v>-</v>
      </c>
      <c r="I97" s="108" t="str">
        <f>IFERROR(INDEX(lifespans_all!I$80:I$126,MATCH($A97,lifespans_all!$A$80:$A$126,0))*INDEX(SR_mission_minutes!I$2:I$43,MATCH($A97,SR_mission_minutes!$A$2:$A$43)),"-")</f>
        <v>-</v>
      </c>
      <c r="J97" s="108" t="str">
        <f>IFERROR(INDEX(lifespans_all!J$80:J$126,MATCH($A97,lifespans_all!$A$80:$A$126,0))*INDEX(SR_mission_minutes!J$2:J$43,MATCH($A97,SR_mission_minutes!$A$2:$A$43)),"-")</f>
        <v>-</v>
      </c>
      <c r="K97" s="108" t="str">
        <f>IFERROR(INDEX(lifespans_all!K$80:K$126,MATCH($A97,lifespans_all!$A$80:$A$126,0))*INDEX(SR_mission_minutes!K$2:K$43,MATCH($A97,SR_mission_minutes!$A$2:$A$43)),"-")</f>
        <v>-</v>
      </c>
      <c r="L97" s="108" t="str">
        <f>IFERROR(INDEX(lifespans_all!L$80:L$126,MATCH($A97,lifespans_all!$A$80:$A$126,0))*INDEX(SR_mission_minutes!L$2:L$43,MATCH($A97,SR_mission_minutes!$A$2:$A$43)),"-")</f>
        <v>-</v>
      </c>
      <c r="M97" s="108" t="str">
        <f>IFERROR(INDEX(lifespans_all!M$80:M$126,MATCH($A97,lifespans_all!$A$80:$A$126,0))*INDEX(SR_mission_minutes!M$2:M$43,MATCH($A97,SR_mission_minutes!$A$2:$A$43)),"-")</f>
        <v>-</v>
      </c>
      <c r="N97" s="108" t="str">
        <f>IFERROR(INDEX(lifespans_all!N$80:N$126,MATCH($A97,lifespans_all!$A$80:$A$126,0))*INDEX(SR_mission_minutes!N$2:N$43,MATCH($A97,SR_mission_minutes!$A$2:$A$43)),"-")</f>
        <v>-</v>
      </c>
      <c r="O97" s="108" t="str">
        <f>IFERROR(INDEX(lifespans_all!O$80:O$126,MATCH($A97,lifespans_all!$A$80:$A$126,0))*INDEX(SR_mission_minutes!O$2:O$43,MATCH($A97,SR_mission_minutes!$A$2:$A$43)),"-")</f>
        <v>-</v>
      </c>
      <c r="P97" s="108" t="str">
        <f>IFERROR(INDEX(lifespans_all!P$80:P$126,MATCH($A97,lifespans_all!$A$80:$A$126,0))*INDEX(SR_mission_minutes!P$2:P$43,MATCH($A97,SR_mission_minutes!$A$2:$A$43)),"-")</f>
        <v>-</v>
      </c>
      <c r="Q97" s="108" t="str">
        <f>IFERROR(INDEX(lifespans_all!Q$80:Q$126,MATCH($A97,lifespans_all!$A$80:$A$126,0))*INDEX(SR_mission_minutes!Q$2:Q$43,MATCH($A97,SR_mission_minutes!$A$2:$A$43)),"-")</f>
        <v>-</v>
      </c>
      <c r="R97" s="108" t="str">
        <f>IFERROR(INDEX(lifespans_all!R$80:R$126,MATCH($A97,lifespans_all!$A$80:$A$126,0))*INDEX(SR_mission_minutes!R$2:R$43,MATCH($A97,SR_mission_minutes!$A$2:$A$43)),"-")</f>
        <v>-</v>
      </c>
      <c r="S97" s="108" t="str">
        <f>IFERROR(INDEX(lifespans_all!S$80:S$126,MATCH($A97,lifespans_all!$A$80:$A$126,0))*INDEX(SR_mission_minutes!S$2:S$43,MATCH($A97,SR_mission_minutes!$A$2:$A$43)),"-")</f>
        <v>-</v>
      </c>
      <c r="T97" s="108" t="str">
        <f>IFERROR(INDEX(lifespans_all!T$80:T$126,MATCH($A97,lifespans_all!$A$80:$A$126,0))*INDEX(SR_mission_minutes!T$2:T$43,MATCH($A97,SR_mission_minutes!$A$2:$A$43)),"-")</f>
        <v>-</v>
      </c>
      <c r="U97" s="108" t="str">
        <f>IFERROR(INDEX(lifespans_all!U$80:U$126,MATCH($A97,lifespans_all!$A$80:$A$126,0))*INDEX(SR_mission_minutes!U$2:U$43,MATCH($A97,SR_mission_minutes!$A$2:$A$43)),"-")</f>
        <v>-</v>
      </c>
      <c r="V97" s="108" t="str">
        <f>IFERROR(INDEX(lifespans_all!V$80:V$126,MATCH($A97,lifespans_all!$A$80:$A$126,0))*INDEX(SR_mission_minutes!V$2:V$43,MATCH($A97,SR_mission_minutes!$A$2:$A$43)),"-")</f>
        <v>-</v>
      </c>
    </row>
    <row r="98" spans="1:22" x14ac:dyDescent="0.25">
      <c r="A98" s="32" t="s">
        <v>118</v>
      </c>
      <c r="B98" s="32" t="s">
        <v>40</v>
      </c>
      <c r="C98" s="108" t="str">
        <f>IFERROR(INDEX(lifespans_all!C$80:C$126,MATCH($A98,lifespans_all!$A$80:$A$126,0))*INDEX(SR_mission_minutes!C$2:C$43,MATCH($A98,SR_mission_minutes!$A$2:$A$43)),"-")</f>
        <v>-</v>
      </c>
      <c r="D98" s="108" t="str">
        <f>IFERROR(INDEX(lifespans_all!D$80:D$126,MATCH($A98,lifespans_all!$A$80:$A$126,0))*INDEX(SR_mission_minutes!D$2:D$43,MATCH($A98,SR_mission_minutes!$A$2:$A$43)),"-")</f>
        <v>-</v>
      </c>
      <c r="E98" s="108" t="str">
        <f>IFERROR(INDEX(lifespans_all!E$80:E$126,MATCH($A98,lifespans_all!$A$80:$A$126,0))*INDEX(SR_mission_minutes!E$2:E$43,MATCH($A98,SR_mission_minutes!$A$2:$A$43)),"-")</f>
        <v>-</v>
      </c>
      <c r="F98" s="108" t="str">
        <f>IFERROR(INDEX(lifespans_all!F$80:F$126,MATCH($A98,lifespans_all!$A$80:$A$126,0))*INDEX(SR_mission_minutes!F$2:F$43,MATCH($A98,SR_mission_minutes!$A$2:$A$43)),"-")</f>
        <v>-</v>
      </c>
      <c r="G98" s="108" t="str">
        <f>IFERROR(INDEX(lifespans_all!G$80:G$126,MATCH($A98,lifespans_all!$A$80:$A$126,0))*INDEX(SR_mission_minutes!G$2:G$43,MATCH($A98,SR_mission_minutes!$A$2:$A$43)),"-")</f>
        <v>-</v>
      </c>
      <c r="H98" s="108" t="str">
        <f>IFERROR(INDEX(lifespans_all!H$80:H$126,MATCH($A98,lifespans_all!$A$80:$A$126,0))*INDEX(SR_mission_minutes!H$2:H$43,MATCH($A98,SR_mission_minutes!$A$2:$A$43)),"-")</f>
        <v>-</v>
      </c>
      <c r="I98" s="108" t="str">
        <f>IFERROR(INDEX(lifespans_all!I$80:I$126,MATCH($A98,lifespans_all!$A$80:$A$126,0))*INDEX(SR_mission_minutes!I$2:I$43,MATCH($A98,SR_mission_minutes!$A$2:$A$43)),"-")</f>
        <v>-</v>
      </c>
      <c r="J98" s="108" t="str">
        <f>IFERROR(INDEX(lifespans_all!J$80:J$126,MATCH($A98,lifespans_all!$A$80:$A$126,0))*INDEX(SR_mission_minutes!J$2:J$43,MATCH($A98,SR_mission_minutes!$A$2:$A$43)),"-")</f>
        <v>-</v>
      </c>
      <c r="K98" s="108" t="str">
        <f>IFERROR(INDEX(lifespans_all!K$80:K$126,MATCH($A98,lifespans_all!$A$80:$A$126,0))*INDEX(SR_mission_minutes!K$2:K$43,MATCH($A98,SR_mission_minutes!$A$2:$A$43)),"-")</f>
        <v>-</v>
      </c>
      <c r="L98" s="108" t="str">
        <f>IFERROR(INDEX(lifespans_all!L$80:L$126,MATCH($A98,lifespans_all!$A$80:$A$126,0))*INDEX(SR_mission_minutes!L$2:L$43,MATCH($A98,SR_mission_minutes!$A$2:$A$43)),"-")</f>
        <v>-</v>
      </c>
      <c r="M98" s="108" t="str">
        <f>IFERROR(INDEX(lifespans_all!M$80:M$126,MATCH($A98,lifespans_all!$A$80:$A$126,0))*INDEX(SR_mission_minutes!M$2:M$43,MATCH($A98,SR_mission_minutes!$A$2:$A$43)),"-")</f>
        <v>-</v>
      </c>
      <c r="N98" s="108" t="str">
        <f>IFERROR(INDEX(lifespans_all!N$80:N$126,MATCH($A98,lifespans_all!$A$80:$A$126,0))*INDEX(SR_mission_minutes!N$2:N$43,MATCH($A98,SR_mission_minutes!$A$2:$A$43)),"-")</f>
        <v>-</v>
      </c>
      <c r="O98" s="108" t="str">
        <f>IFERROR(INDEX(lifespans_all!O$80:O$126,MATCH($A98,lifespans_all!$A$80:$A$126,0))*INDEX(SR_mission_minutes!O$2:O$43,MATCH($A98,SR_mission_minutes!$A$2:$A$43)),"-")</f>
        <v>-</v>
      </c>
      <c r="P98" s="108" t="str">
        <f>IFERROR(INDEX(lifespans_all!P$80:P$126,MATCH($A98,lifespans_all!$A$80:$A$126,0))*INDEX(SR_mission_minutes!P$2:P$43,MATCH($A98,SR_mission_minutes!$A$2:$A$43)),"-")</f>
        <v>-</v>
      </c>
      <c r="Q98" s="108" t="str">
        <f>IFERROR(INDEX(lifespans_all!Q$80:Q$126,MATCH($A98,lifespans_all!$A$80:$A$126,0))*INDEX(SR_mission_minutes!Q$2:Q$43,MATCH($A98,SR_mission_minutes!$A$2:$A$43)),"-")</f>
        <v>-</v>
      </c>
      <c r="R98" s="108" t="str">
        <f>IFERROR(INDEX(lifespans_all!R$80:R$126,MATCH($A98,lifespans_all!$A$80:$A$126,0))*INDEX(SR_mission_minutes!R$2:R$43,MATCH($A98,SR_mission_minutes!$A$2:$A$43)),"-")</f>
        <v>-</v>
      </c>
      <c r="S98" s="108" t="str">
        <f>IFERROR(INDEX(lifespans_all!S$80:S$126,MATCH($A98,lifespans_all!$A$80:$A$126,0))*INDEX(SR_mission_minutes!S$2:S$43,MATCH($A98,SR_mission_minutes!$A$2:$A$43)),"-")</f>
        <v>-</v>
      </c>
      <c r="T98" s="108" t="str">
        <f>IFERROR(INDEX(lifespans_all!T$80:T$126,MATCH($A98,lifespans_all!$A$80:$A$126,0))*INDEX(SR_mission_minutes!T$2:T$43,MATCH($A98,SR_mission_minutes!$A$2:$A$43)),"-")</f>
        <v>-</v>
      </c>
      <c r="U98" s="108" t="str">
        <f>IFERROR(INDEX(lifespans_all!U$80:U$126,MATCH($A98,lifespans_all!$A$80:$A$126,0))*INDEX(SR_mission_minutes!U$2:U$43,MATCH($A98,SR_mission_minutes!$A$2:$A$43)),"-")</f>
        <v>-</v>
      </c>
      <c r="V98" s="108" t="str">
        <f>IFERROR(INDEX(lifespans_all!V$80:V$126,MATCH($A98,lifespans_all!$A$80:$A$126,0))*INDEX(SR_mission_minutes!V$2:V$43,MATCH($A98,SR_mission_minutes!$A$2:$A$43)),"-")</f>
        <v>-</v>
      </c>
    </row>
    <row r="99" spans="1:22" x14ac:dyDescent="0.25">
      <c r="A99" s="32" t="s">
        <v>27</v>
      </c>
      <c r="B99" s="32" t="s">
        <v>45</v>
      </c>
      <c r="C99" s="108">
        <f>IFERROR(INDEX(lifespans_all!C$80:C$126,MATCH($A99,lifespans_all!$A$80:$A$126,0))*INDEX(SR_mission_minutes!C$2:C$43,MATCH($A99,SR_mission_minutes!$A$2:$A$43)),"-")</f>
        <v>33739.333333333336</v>
      </c>
      <c r="D99" s="108">
        <f>IFERROR(INDEX(lifespans_all!D$80:D$126,MATCH($A99,lifespans_all!$A$80:$A$126,0))*INDEX(SR_mission_minutes!D$2:D$43,MATCH($A99,SR_mission_minutes!$A$2:$A$43)),"-")</f>
        <v>0</v>
      </c>
      <c r="E99" s="108">
        <f>IFERROR(INDEX(lifespans_all!E$80:E$126,MATCH($A99,lifespans_all!$A$80:$A$126,0))*INDEX(SR_mission_minutes!E$2:E$43,MATCH($A99,SR_mission_minutes!$A$2:$A$43)),"-")</f>
        <v>0</v>
      </c>
      <c r="F99" s="108">
        <f>IFERROR(INDEX(lifespans_all!F$80:F$126,MATCH($A99,lifespans_all!$A$80:$A$126,0))*INDEX(SR_mission_minutes!F$2:F$43,MATCH($A99,SR_mission_minutes!$A$2:$A$43)),"-")</f>
        <v>0</v>
      </c>
      <c r="G99" s="108">
        <f>IFERROR(INDEX(lifespans_all!G$80:G$126,MATCH($A99,lifespans_all!$A$80:$A$126,0))*INDEX(SR_mission_minutes!G$2:G$43,MATCH($A99,SR_mission_minutes!$A$2:$A$43)),"-")</f>
        <v>0</v>
      </c>
      <c r="H99" s="108">
        <f>IFERROR(INDEX(lifespans_all!H$80:H$126,MATCH($A99,lifespans_all!$A$80:$A$126,0))*INDEX(SR_mission_minutes!H$2:H$43,MATCH($A99,SR_mission_minutes!$A$2:$A$43)),"-")</f>
        <v>0</v>
      </c>
      <c r="I99" s="108">
        <f>IFERROR(INDEX(lifespans_all!I$80:I$126,MATCH($A99,lifespans_all!$A$80:$A$126,0))*INDEX(SR_mission_minutes!I$2:I$43,MATCH($A99,SR_mission_minutes!$A$2:$A$43)),"-")</f>
        <v>0</v>
      </c>
      <c r="J99" s="108">
        <f>IFERROR(INDEX(lifespans_all!J$80:J$126,MATCH($A99,lifespans_all!$A$80:$A$126,0))*INDEX(SR_mission_minutes!J$2:J$43,MATCH($A99,SR_mission_minutes!$A$2:$A$43)),"-")</f>
        <v>0</v>
      </c>
      <c r="K99" s="108">
        <f>IFERROR(INDEX(lifespans_all!K$80:K$126,MATCH($A99,lifespans_all!$A$80:$A$126,0))*INDEX(SR_mission_minutes!K$2:K$43,MATCH($A99,SR_mission_minutes!$A$2:$A$43)),"-")</f>
        <v>0</v>
      </c>
      <c r="L99" s="108">
        <f>IFERROR(INDEX(lifespans_all!L$80:L$126,MATCH($A99,lifespans_all!$A$80:$A$126,0))*INDEX(SR_mission_minutes!L$2:L$43,MATCH($A99,SR_mission_minutes!$A$2:$A$43)),"-")</f>
        <v>0</v>
      </c>
      <c r="M99" s="108">
        <f>IFERROR(INDEX(lifespans_all!M$80:M$126,MATCH($A99,lifespans_all!$A$80:$A$126,0))*INDEX(SR_mission_minutes!M$2:M$43,MATCH($A99,SR_mission_minutes!$A$2:$A$43)),"-")</f>
        <v>0</v>
      </c>
      <c r="N99" s="108">
        <f>IFERROR(INDEX(lifespans_all!N$80:N$126,MATCH($A99,lifespans_all!$A$80:$A$126,0))*INDEX(SR_mission_minutes!N$2:N$43,MATCH($A99,SR_mission_minutes!$A$2:$A$43)),"-")</f>
        <v>0</v>
      </c>
      <c r="O99" s="108">
        <f>IFERROR(INDEX(lifespans_all!O$80:O$126,MATCH($A99,lifespans_all!$A$80:$A$126,0))*INDEX(SR_mission_minutes!O$2:O$43,MATCH($A99,SR_mission_minutes!$A$2:$A$43)),"-")</f>
        <v>0</v>
      </c>
      <c r="P99" s="108">
        <f>IFERROR(INDEX(lifespans_all!P$80:P$126,MATCH($A99,lifespans_all!$A$80:$A$126,0))*INDEX(SR_mission_minutes!P$2:P$43,MATCH($A99,SR_mission_minutes!$A$2:$A$43)),"-")</f>
        <v>0</v>
      </c>
      <c r="Q99" s="108">
        <f>IFERROR(INDEX(lifespans_all!Q$80:Q$126,MATCH($A99,lifespans_all!$A$80:$A$126,0))*INDEX(SR_mission_minutes!Q$2:Q$43,MATCH($A99,SR_mission_minutes!$A$2:$A$43)),"-")</f>
        <v>0</v>
      </c>
      <c r="R99" s="108">
        <f>IFERROR(INDEX(lifespans_all!R$80:R$126,MATCH($A99,lifespans_all!$A$80:$A$126,0))*INDEX(SR_mission_minutes!R$2:R$43,MATCH($A99,SR_mission_minutes!$A$2:$A$43)),"-")</f>
        <v>0</v>
      </c>
      <c r="S99" s="108">
        <f>IFERROR(INDEX(lifespans_all!S$80:S$126,MATCH($A99,lifespans_all!$A$80:$A$126,0))*INDEX(SR_mission_minutes!S$2:S$43,MATCH($A99,SR_mission_minutes!$A$2:$A$43)),"-")</f>
        <v>0</v>
      </c>
      <c r="T99" s="108">
        <f>IFERROR(INDEX(lifespans_all!T$80:T$126,MATCH($A99,lifespans_all!$A$80:$A$126,0))*INDEX(SR_mission_minutes!T$2:T$43,MATCH($A99,SR_mission_minutes!$A$2:$A$43)),"-")</f>
        <v>0</v>
      </c>
      <c r="U99" s="108">
        <f>IFERROR(INDEX(lifespans_all!U$80:U$126,MATCH($A99,lifespans_all!$A$80:$A$126,0))*INDEX(SR_mission_minutes!U$2:U$43,MATCH($A99,SR_mission_minutes!$A$2:$A$43)),"-")</f>
        <v>0</v>
      </c>
      <c r="V99" s="108">
        <f>IFERROR(INDEX(lifespans_all!V$80:V$126,MATCH($A99,lifespans_all!$A$80:$A$126,0))*INDEX(SR_mission_minutes!V$2:V$43,MATCH($A99,SR_mission_minutes!$A$2:$A$43)),"-")</f>
        <v>0</v>
      </c>
    </row>
    <row r="100" spans="1:22" x14ac:dyDescent="0.25">
      <c r="A100" s="32" t="s">
        <v>28</v>
      </c>
      <c r="B100" s="32" t="s">
        <v>41</v>
      </c>
      <c r="C100" s="108">
        <f>IFERROR(INDEX(lifespans_all!C$80:C$126,MATCH($A100,lifespans_all!$A$80:$A$126,0))*INDEX(SR_mission_minutes!C$2:C$43,MATCH($A100,SR_mission_minutes!$A$2:$A$43)),"-")</f>
        <v>66700.388888888891</v>
      </c>
      <c r="D100" s="108">
        <f>IFERROR(INDEX(lifespans_all!D$80:D$126,MATCH($A100,lifespans_all!$A$80:$A$126,0))*INDEX(SR_mission_minutes!D$2:D$43,MATCH($A100,SR_mission_minutes!$A$2:$A$43)),"-")</f>
        <v>0</v>
      </c>
      <c r="E100" s="108">
        <f>IFERROR(INDEX(lifespans_all!E$80:E$126,MATCH($A100,lifespans_all!$A$80:$A$126,0))*INDEX(SR_mission_minutes!E$2:E$43,MATCH($A100,SR_mission_minutes!$A$2:$A$43)),"-")</f>
        <v>0</v>
      </c>
      <c r="F100" s="108">
        <f>IFERROR(INDEX(lifespans_all!F$80:F$126,MATCH($A100,lifespans_all!$A$80:$A$126,0))*INDEX(SR_mission_minutes!F$2:F$43,MATCH($A100,SR_mission_minutes!$A$2:$A$43)),"-")</f>
        <v>0</v>
      </c>
      <c r="G100" s="108">
        <f>IFERROR(INDEX(lifespans_all!G$80:G$126,MATCH($A100,lifespans_all!$A$80:$A$126,0))*INDEX(SR_mission_minutes!G$2:G$43,MATCH($A100,SR_mission_minutes!$A$2:$A$43)),"-")</f>
        <v>0</v>
      </c>
      <c r="H100" s="108">
        <f>IFERROR(INDEX(lifespans_all!H$80:H$126,MATCH($A100,lifespans_all!$A$80:$A$126,0))*INDEX(SR_mission_minutes!H$2:H$43,MATCH($A100,SR_mission_minutes!$A$2:$A$43)),"-")</f>
        <v>0</v>
      </c>
      <c r="I100" s="108">
        <f>IFERROR(INDEX(lifespans_all!I$80:I$126,MATCH($A100,lifespans_all!$A$80:$A$126,0))*INDEX(SR_mission_minutes!I$2:I$43,MATCH($A100,SR_mission_minutes!$A$2:$A$43)),"-")</f>
        <v>0</v>
      </c>
      <c r="J100" s="108">
        <f>IFERROR(INDEX(lifespans_all!J$80:J$126,MATCH($A100,lifespans_all!$A$80:$A$126,0))*INDEX(SR_mission_minutes!J$2:J$43,MATCH($A100,SR_mission_minutes!$A$2:$A$43)),"-")</f>
        <v>0</v>
      </c>
      <c r="K100" s="108">
        <f>IFERROR(INDEX(lifespans_all!K$80:K$126,MATCH($A100,lifespans_all!$A$80:$A$126,0))*INDEX(SR_mission_minutes!K$2:K$43,MATCH($A100,SR_mission_minutes!$A$2:$A$43)),"-")</f>
        <v>0</v>
      </c>
      <c r="L100" s="108">
        <f>IFERROR(INDEX(lifespans_all!L$80:L$126,MATCH($A100,lifespans_all!$A$80:$A$126,0))*INDEX(SR_mission_minutes!L$2:L$43,MATCH($A100,SR_mission_minutes!$A$2:$A$43)),"-")</f>
        <v>0</v>
      </c>
      <c r="M100" s="108">
        <f>IFERROR(INDEX(lifespans_all!M$80:M$126,MATCH($A100,lifespans_all!$A$80:$A$126,0))*INDEX(SR_mission_minutes!M$2:M$43,MATCH($A100,SR_mission_minutes!$A$2:$A$43)),"-")</f>
        <v>0</v>
      </c>
      <c r="N100" s="108">
        <f>IFERROR(INDEX(lifespans_all!N$80:N$126,MATCH($A100,lifespans_all!$A$80:$A$126,0))*INDEX(SR_mission_minutes!N$2:N$43,MATCH($A100,SR_mission_minutes!$A$2:$A$43)),"-")</f>
        <v>0</v>
      </c>
      <c r="O100" s="108">
        <f>IFERROR(INDEX(lifespans_all!O$80:O$126,MATCH($A100,lifespans_all!$A$80:$A$126,0))*INDEX(SR_mission_minutes!O$2:O$43,MATCH($A100,SR_mission_minutes!$A$2:$A$43)),"-")</f>
        <v>0</v>
      </c>
      <c r="P100" s="108">
        <f>IFERROR(INDEX(lifespans_all!P$80:P$126,MATCH($A100,lifespans_all!$A$80:$A$126,0))*INDEX(SR_mission_minutes!P$2:P$43,MATCH($A100,SR_mission_minutes!$A$2:$A$43)),"-")</f>
        <v>0</v>
      </c>
      <c r="Q100" s="108">
        <f>IFERROR(INDEX(lifespans_all!Q$80:Q$126,MATCH($A100,lifespans_all!$A$80:$A$126,0))*INDEX(SR_mission_minutes!Q$2:Q$43,MATCH($A100,SR_mission_minutes!$A$2:$A$43)),"-")</f>
        <v>0</v>
      </c>
      <c r="R100" s="108">
        <f>IFERROR(INDEX(lifespans_all!R$80:R$126,MATCH($A100,lifespans_all!$A$80:$A$126,0))*INDEX(SR_mission_minutes!R$2:R$43,MATCH($A100,SR_mission_minutes!$A$2:$A$43)),"-")</f>
        <v>0</v>
      </c>
      <c r="S100" s="108">
        <f>IFERROR(INDEX(lifespans_all!S$80:S$126,MATCH($A100,lifespans_all!$A$80:$A$126,0))*INDEX(SR_mission_minutes!S$2:S$43,MATCH($A100,SR_mission_minutes!$A$2:$A$43)),"-")</f>
        <v>0</v>
      </c>
      <c r="T100" s="108">
        <f>IFERROR(INDEX(lifespans_all!T$80:T$126,MATCH($A100,lifespans_all!$A$80:$A$126,0))*INDEX(SR_mission_minutes!T$2:T$43,MATCH($A100,SR_mission_minutes!$A$2:$A$43)),"-")</f>
        <v>0</v>
      </c>
      <c r="U100" s="108">
        <f>IFERROR(INDEX(lifespans_all!U$80:U$126,MATCH($A100,lifespans_all!$A$80:$A$126,0))*INDEX(SR_mission_minutes!U$2:U$43,MATCH($A100,SR_mission_minutes!$A$2:$A$43)),"-")</f>
        <v>0</v>
      </c>
      <c r="V100" s="108">
        <f>IFERROR(INDEX(lifespans_all!V$80:V$126,MATCH($A100,lifespans_all!$A$80:$A$126,0))*INDEX(SR_mission_minutes!V$2:V$43,MATCH($A100,SR_mission_minutes!$A$2:$A$43)),"-")</f>
        <v>0</v>
      </c>
    </row>
    <row r="101" spans="1:22" x14ac:dyDescent="0.25">
      <c r="A101" s="32" t="s">
        <v>62</v>
      </c>
      <c r="B101" s="32" t="s">
        <v>41</v>
      </c>
      <c r="C101" s="108">
        <f>IFERROR(INDEX(lifespans_all!C$80:C$126,MATCH($A101,lifespans_all!$A$80:$A$126,0))*INDEX(SR_mission_minutes!C$2:C$43,MATCH($A101,SR_mission_minutes!$A$2:$A$43)),"-")</f>
        <v>66700.388888888891</v>
      </c>
      <c r="D101" s="108">
        <f>IFERROR(INDEX(lifespans_all!D$80:D$126,MATCH($A101,lifespans_all!$A$80:$A$126,0))*INDEX(SR_mission_minutes!D$2:D$43,MATCH($A101,SR_mission_minutes!$A$2:$A$43)),"-")</f>
        <v>66700.388888888891</v>
      </c>
      <c r="E101" s="108">
        <f>IFERROR(INDEX(lifespans_all!E$80:E$126,MATCH($A101,lifespans_all!$A$80:$A$126,0))*INDEX(SR_mission_minutes!E$2:E$43,MATCH($A101,SR_mission_minutes!$A$2:$A$43)),"-")</f>
        <v>66700.388888888891</v>
      </c>
      <c r="F101" s="108">
        <f>IFERROR(INDEX(lifespans_all!F$80:F$126,MATCH($A101,lifespans_all!$A$80:$A$126,0))*INDEX(SR_mission_minutes!F$2:F$43,MATCH($A101,SR_mission_minutes!$A$2:$A$43)),"-")</f>
        <v>66700.388888888891</v>
      </c>
      <c r="G101" s="108">
        <f>IFERROR(INDEX(lifespans_all!G$80:G$126,MATCH($A101,lifespans_all!$A$80:$A$126,0))*INDEX(SR_mission_minutes!G$2:G$43,MATCH($A101,SR_mission_minutes!$A$2:$A$43)),"-")</f>
        <v>66700.388888888891</v>
      </c>
      <c r="H101" s="108">
        <f>IFERROR(INDEX(lifespans_all!H$80:H$126,MATCH($A101,lifespans_all!$A$80:$A$126,0))*INDEX(SR_mission_minutes!H$2:H$43,MATCH($A101,SR_mission_minutes!$A$2:$A$43)),"-")</f>
        <v>0</v>
      </c>
      <c r="I101" s="108">
        <f>IFERROR(INDEX(lifespans_all!I$80:I$126,MATCH($A101,lifespans_all!$A$80:$A$126,0))*INDEX(SR_mission_minutes!I$2:I$43,MATCH($A101,SR_mission_minutes!$A$2:$A$43)),"-")</f>
        <v>0</v>
      </c>
      <c r="J101" s="108">
        <f>IFERROR(INDEX(lifespans_all!J$80:J$126,MATCH($A101,lifespans_all!$A$80:$A$126,0))*INDEX(SR_mission_minutes!J$2:J$43,MATCH($A101,SR_mission_minutes!$A$2:$A$43)),"-")</f>
        <v>0</v>
      </c>
      <c r="K101" s="108">
        <f>IFERROR(INDEX(lifespans_all!K$80:K$126,MATCH($A101,lifespans_all!$A$80:$A$126,0))*INDEX(SR_mission_minutes!K$2:K$43,MATCH($A101,SR_mission_minutes!$A$2:$A$43)),"-")</f>
        <v>0</v>
      </c>
      <c r="L101" s="108">
        <f>IFERROR(INDEX(lifespans_all!L$80:L$126,MATCH($A101,lifespans_all!$A$80:$A$126,0))*INDEX(SR_mission_minutes!L$2:L$43,MATCH($A101,SR_mission_minutes!$A$2:$A$43)),"-")</f>
        <v>0</v>
      </c>
      <c r="M101" s="108">
        <f>IFERROR(INDEX(lifespans_all!M$80:M$126,MATCH($A101,lifespans_all!$A$80:$A$126,0))*INDEX(SR_mission_minutes!M$2:M$43,MATCH($A101,SR_mission_minutes!$A$2:$A$43)),"-")</f>
        <v>0</v>
      </c>
      <c r="N101" s="108">
        <f>IFERROR(INDEX(lifespans_all!N$80:N$126,MATCH($A101,lifespans_all!$A$80:$A$126,0))*INDEX(SR_mission_minutes!N$2:N$43,MATCH($A101,SR_mission_minutes!$A$2:$A$43)),"-")</f>
        <v>0</v>
      </c>
      <c r="O101" s="108">
        <f>IFERROR(INDEX(lifespans_all!O$80:O$126,MATCH($A101,lifespans_all!$A$80:$A$126,0))*INDEX(SR_mission_minutes!O$2:O$43,MATCH($A101,SR_mission_minutes!$A$2:$A$43)),"-")</f>
        <v>0</v>
      </c>
      <c r="P101" s="108">
        <f>IFERROR(INDEX(lifespans_all!P$80:P$126,MATCH($A101,lifespans_all!$A$80:$A$126,0))*INDEX(SR_mission_minutes!P$2:P$43,MATCH($A101,SR_mission_minutes!$A$2:$A$43)),"-")</f>
        <v>0</v>
      </c>
      <c r="Q101" s="108">
        <f>IFERROR(INDEX(lifespans_all!Q$80:Q$126,MATCH($A101,lifespans_all!$A$80:$A$126,0))*INDEX(SR_mission_minutes!Q$2:Q$43,MATCH($A101,SR_mission_minutes!$A$2:$A$43)),"-")</f>
        <v>0</v>
      </c>
      <c r="R101" s="108">
        <f>IFERROR(INDEX(lifespans_all!R$80:R$126,MATCH($A101,lifespans_all!$A$80:$A$126,0))*INDEX(SR_mission_minutes!R$2:R$43,MATCH($A101,SR_mission_minutes!$A$2:$A$43)),"-")</f>
        <v>0</v>
      </c>
      <c r="S101" s="108">
        <f>IFERROR(INDEX(lifespans_all!S$80:S$126,MATCH($A101,lifespans_all!$A$80:$A$126,0))*INDEX(SR_mission_minutes!S$2:S$43,MATCH($A101,SR_mission_minutes!$A$2:$A$43)),"-")</f>
        <v>0</v>
      </c>
      <c r="T101" s="108">
        <f>IFERROR(INDEX(lifespans_all!T$80:T$126,MATCH($A101,lifespans_all!$A$80:$A$126,0))*INDEX(SR_mission_minutes!T$2:T$43,MATCH($A101,SR_mission_minutes!$A$2:$A$43)),"-")</f>
        <v>0</v>
      </c>
      <c r="U101" s="108">
        <f>IFERROR(INDEX(lifespans_all!U$80:U$126,MATCH($A101,lifespans_all!$A$80:$A$126,0))*INDEX(SR_mission_minutes!U$2:U$43,MATCH($A101,SR_mission_minutes!$A$2:$A$43)),"-")</f>
        <v>0</v>
      </c>
      <c r="V101" s="108">
        <f>IFERROR(INDEX(lifespans_all!V$80:V$126,MATCH($A101,lifespans_all!$A$80:$A$126,0))*INDEX(SR_mission_minutes!V$2:V$43,MATCH($A101,SR_mission_minutes!$A$2:$A$43)),"-")</f>
        <v>0</v>
      </c>
    </row>
    <row r="102" spans="1:22" x14ac:dyDescent="0.25">
      <c r="A102" s="32" t="s">
        <v>29</v>
      </c>
      <c r="B102" s="32" t="s">
        <v>41</v>
      </c>
      <c r="C102" s="108">
        <f>IFERROR(INDEX(lifespans_all!C$80:C$126,MATCH($A102,lifespans_all!$A$80:$A$126,0))*INDEX(SR_mission_minutes!C$2:C$43,MATCH($A102,SR_mission_minutes!$A$2:$A$43)),"-")</f>
        <v>66700.388888888891</v>
      </c>
      <c r="D102" s="108">
        <f>IFERROR(INDEX(lifespans_all!D$80:D$126,MATCH($A102,lifespans_all!$A$80:$A$126,0))*INDEX(SR_mission_minutes!D$2:D$43,MATCH($A102,SR_mission_minutes!$A$2:$A$43)),"-")</f>
        <v>66700.388888888891</v>
      </c>
      <c r="E102" s="108">
        <f>IFERROR(INDEX(lifespans_all!E$80:E$126,MATCH($A102,lifespans_all!$A$80:$A$126,0))*INDEX(SR_mission_minutes!E$2:E$43,MATCH($A102,SR_mission_minutes!$A$2:$A$43)),"-")</f>
        <v>66700.388888888891</v>
      </c>
      <c r="F102" s="108">
        <f>IFERROR(INDEX(lifespans_all!F$80:F$126,MATCH($A102,lifespans_all!$A$80:$A$126,0))*INDEX(SR_mission_minutes!F$2:F$43,MATCH($A102,SR_mission_minutes!$A$2:$A$43)),"-")</f>
        <v>0</v>
      </c>
      <c r="G102" s="108">
        <f>IFERROR(INDEX(lifespans_all!G$80:G$126,MATCH($A102,lifespans_all!$A$80:$A$126,0))*INDEX(SR_mission_minutes!G$2:G$43,MATCH($A102,SR_mission_minutes!$A$2:$A$43)),"-")</f>
        <v>0</v>
      </c>
      <c r="H102" s="108">
        <f>IFERROR(INDEX(lifespans_all!H$80:H$126,MATCH($A102,lifespans_all!$A$80:$A$126,0))*INDEX(SR_mission_minutes!H$2:H$43,MATCH($A102,SR_mission_minutes!$A$2:$A$43)),"-")</f>
        <v>0</v>
      </c>
      <c r="I102" s="108">
        <f>IFERROR(INDEX(lifespans_all!I$80:I$126,MATCH($A102,lifespans_all!$A$80:$A$126,0))*INDEX(SR_mission_minutes!I$2:I$43,MATCH($A102,SR_mission_minutes!$A$2:$A$43)),"-")</f>
        <v>0</v>
      </c>
      <c r="J102" s="108">
        <f>IFERROR(INDEX(lifespans_all!J$80:J$126,MATCH($A102,lifespans_all!$A$80:$A$126,0))*INDEX(SR_mission_minutes!J$2:J$43,MATCH($A102,SR_mission_minutes!$A$2:$A$43)),"-")</f>
        <v>0</v>
      </c>
      <c r="K102" s="108">
        <f>IFERROR(INDEX(lifespans_all!K$80:K$126,MATCH($A102,lifespans_all!$A$80:$A$126,0))*INDEX(SR_mission_minutes!K$2:K$43,MATCH($A102,SR_mission_minutes!$A$2:$A$43)),"-")</f>
        <v>0</v>
      </c>
      <c r="L102" s="108">
        <f>IFERROR(INDEX(lifespans_all!L$80:L$126,MATCH($A102,lifespans_all!$A$80:$A$126,0))*INDEX(SR_mission_minutes!L$2:L$43,MATCH($A102,SR_mission_minutes!$A$2:$A$43)),"-")</f>
        <v>0</v>
      </c>
      <c r="M102" s="108">
        <f>IFERROR(INDEX(lifespans_all!M$80:M$126,MATCH($A102,lifespans_all!$A$80:$A$126,0))*INDEX(SR_mission_minutes!M$2:M$43,MATCH($A102,SR_mission_minutes!$A$2:$A$43)),"-")</f>
        <v>0</v>
      </c>
      <c r="N102" s="108">
        <f>IFERROR(INDEX(lifespans_all!N$80:N$126,MATCH($A102,lifespans_all!$A$80:$A$126,0))*INDEX(SR_mission_minutes!N$2:N$43,MATCH($A102,SR_mission_minutes!$A$2:$A$43)),"-")</f>
        <v>0</v>
      </c>
      <c r="O102" s="108">
        <f>IFERROR(INDEX(lifespans_all!O$80:O$126,MATCH($A102,lifespans_all!$A$80:$A$126,0))*INDEX(SR_mission_minutes!O$2:O$43,MATCH($A102,SR_mission_minutes!$A$2:$A$43)),"-")</f>
        <v>0</v>
      </c>
      <c r="P102" s="108">
        <f>IFERROR(INDEX(lifespans_all!P$80:P$126,MATCH($A102,lifespans_all!$A$80:$A$126,0))*INDEX(SR_mission_minutes!P$2:P$43,MATCH($A102,SR_mission_minutes!$A$2:$A$43)),"-")</f>
        <v>0</v>
      </c>
      <c r="Q102" s="108">
        <f>IFERROR(INDEX(lifespans_all!Q$80:Q$126,MATCH($A102,lifespans_all!$A$80:$A$126,0))*INDEX(SR_mission_minutes!Q$2:Q$43,MATCH($A102,SR_mission_minutes!$A$2:$A$43)),"-")</f>
        <v>0</v>
      </c>
      <c r="R102" s="108">
        <f>IFERROR(INDEX(lifespans_all!R$80:R$126,MATCH($A102,lifespans_all!$A$80:$A$126,0))*INDEX(SR_mission_minutes!R$2:R$43,MATCH($A102,SR_mission_minutes!$A$2:$A$43)),"-")</f>
        <v>0</v>
      </c>
      <c r="S102" s="108">
        <f>IFERROR(INDEX(lifespans_all!S$80:S$126,MATCH($A102,lifespans_all!$A$80:$A$126,0))*INDEX(SR_mission_minutes!S$2:S$43,MATCH($A102,SR_mission_minutes!$A$2:$A$43)),"-")</f>
        <v>0</v>
      </c>
      <c r="T102" s="108">
        <f>IFERROR(INDEX(lifespans_all!T$80:T$126,MATCH($A102,lifespans_all!$A$80:$A$126,0))*INDEX(SR_mission_minutes!T$2:T$43,MATCH($A102,SR_mission_minutes!$A$2:$A$43)),"-")</f>
        <v>0</v>
      </c>
      <c r="U102" s="108">
        <f>IFERROR(INDEX(lifespans_all!U$80:U$126,MATCH($A102,lifespans_all!$A$80:$A$126,0))*INDEX(SR_mission_minutes!U$2:U$43,MATCH($A102,SR_mission_minutes!$A$2:$A$43)),"-")</f>
        <v>0</v>
      </c>
      <c r="V102" s="108">
        <f>IFERROR(INDEX(lifespans_all!V$80:V$126,MATCH($A102,lifespans_all!$A$80:$A$126,0))*INDEX(SR_mission_minutes!V$2:V$43,MATCH($A102,SR_mission_minutes!$A$2:$A$43)),"-")</f>
        <v>0</v>
      </c>
    </row>
    <row r="103" spans="1:22" x14ac:dyDescent="0.25">
      <c r="A103" s="32" t="s">
        <v>30</v>
      </c>
      <c r="B103" s="32" t="s">
        <v>43</v>
      </c>
      <c r="C103" s="108">
        <f>IFERROR(INDEX(lifespans_all!C$80:C$126,MATCH($A103,lifespans_all!$A$80:$A$126,0))*INDEX(SR_mission_minutes!C$2:C$43,MATCH($A103,SR_mission_minutes!$A$2:$A$43)),"-")</f>
        <v>114879</v>
      </c>
      <c r="D103" s="108">
        <f>IFERROR(INDEX(lifespans_all!D$80:D$126,MATCH($A103,lifespans_all!$A$80:$A$126,0))*INDEX(SR_mission_minutes!D$2:D$43,MATCH($A103,SR_mission_minutes!$A$2:$A$43)),"-")</f>
        <v>114879</v>
      </c>
      <c r="E103" s="108">
        <f>IFERROR(INDEX(lifespans_all!E$80:E$126,MATCH($A103,lifespans_all!$A$80:$A$126,0))*INDEX(SR_mission_minutes!E$2:E$43,MATCH($A103,SR_mission_minutes!$A$2:$A$43)),"-")</f>
        <v>114879</v>
      </c>
      <c r="F103" s="108">
        <f>IFERROR(INDEX(lifespans_all!F$80:F$126,MATCH($A103,lifespans_all!$A$80:$A$126,0))*INDEX(SR_mission_minutes!F$2:F$43,MATCH($A103,SR_mission_minutes!$A$2:$A$43)),"-")</f>
        <v>114879</v>
      </c>
      <c r="G103" s="108">
        <f>IFERROR(INDEX(lifespans_all!G$80:G$126,MATCH($A103,lifespans_all!$A$80:$A$126,0))*INDEX(SR_mission_minutes!G$2:G$43,MATCH($A103,SR_mission_minutes!$A$2:$A$43)),"-")</f>
        <v>114879</v>
      </c>
      <c r="H103" s="108">
        <f>IFERROR(INDEX(lifespans_all!H$80:H$126,MATCH($A103,lifespans_all!$A$80:$A$126,0))*INDEX(SR_mission_minutes!H$2:H$43,MATCH($A103,SR_mission_minutes!$A$2:$A$43)),"-")</f>
        <v>114879</v>
      </c>
      <c r="I103" s="108">
        <f>IFERROR(INDEX(lifespans_all!I$80:I$126,MATCH($A103,lifespans_all!$A$80:$A$126,0))*INDEX(SR_mission_minutes!I$2:I$43,MATCH($A103,SR_mission_minutes!$A$2:$A$43)),"-")</f>
        <v>114879</v>
      </c>
      <c r="J103" s="108">
        <f>IFERROR(INDEX(lifespans_all!J$80:J$126,MATCH($A103,lifespans_all!$A$80:$A$126,0))*INDEX(SR_mission_minutes!J$2:J$43,MATCH($A103,SR_mission_minutes!$A$2:$A$43)),"-")</f>
        <v>114879</v>
      </c>
      <c r="K103" s="108">
        <f>IFERROR(INDEX(lifespans_all!K$80:K$126,MATCH($A103,lifespans_all!$A$80:$A$126,0))*INDEX(SR_mission_minutes!K$2:K$43,MATCH($A103,SR_mission_minutes!$A$2:$A$43)),"-")</f>
        <v>114879</v>
      </c>
      <c r="L103" s="108">
        <f>IFERROR(INDEX(lifespans_all!L$80:L$126,MATCH($A103,lifespans_all!$A$80:$A$126,0))*INDEX(SR_mission_minutes!L$2:L$43,MATCH($A103,SR_mission_minutes!$A$2:$A$43)),"-")</f>
        <v>114879</v>
      </c>
      <c r="M103" s="108">
        <f>IFERROR(INDEX(lifespans_all!M$80:M$126,MATCH($A103,lifespans_all!$A$80:$A$126,0))*INDEX(SR_mission_minutes!M$2:M$43,MATCH($A103,SR_mission_minutes!$A$2:$A$43)),"-")</f>
        <v>114879</v>
      </c>
      <c r="N103" s="108">
        <f>IFERROR(INDEX(lifespans_all!N$80:N$126,MATCH($A103,lifespans_all!$A$80:$A$126,0))*INDEX(SR_mission_minutes!N$2:N$43,MATCH($A103,SR_mission_minutes!$A$2:$A$43)),"-")</f>
        <v>114879</v>
      </c>
      <c r="O103" s="108">
        <f>IFERROR(INDEX(lifespans_all!O$80:O$126,MATCH($A103,lifespans_all!$A$80:$A$126,0))*INDEX(SR_mission_minutes!O$2:O$43,MATCH($A103,SR_mission_minutes!$A$2:$A$43)),"-")</f>
        <v>114879</v>
      </c>
      <c r="P103" s="108">
        <f>IFERROR(INDEX(lifespans_all!P$80:P$126,MATCH($A103,lifespans_all!$A$80:$A$126,0))*INDEX(SR_mission_minutes!P$2:P$43,MATCH($A103,SR_mission_minutes!$A$2:$A$43)),"-")</f>
        <v>114879</v>
      </c>
      <c r="Q103" s="108">
        <f>IFERROR(INDEX(lifespans_all!Q$80:Q$126,MATCH($A103,lifespans_all!$A$80:$A$126,0))*INDEX(SR_mission_minutes!Q$2:Q$43,MATCH($A103,SR_mission_minutes!$A$2:$A$43)),"-")</f>
        <v>114879</v>
      </c>
      <c r="R103" s="108">
        <f>IFERROR(INDEX(lifespans_all!R$80:R$126,MATCH($A103,lifespans_all!$A$80:$A$126,0))*INDEX(SR_mission_minutes!R$2:R$43,MATCH($A103,SR_mission_minutes!$A$2:$A$43)),"-")</f>
        <v>114879</v>
      </c>
      <c r="S103" s="108">
        <f>IFERROR(INDEX(lifespans_all!S$80:S$126,MATCH($A103,lifespans_all!$A$80:$A$126,0))*INDEX(SR_mission_minutes!S$2:S$43,MATCH($A103,SR_mission_minutes!$A$2:$A$43)),"-")</f>
        <v>114879</v>
      </c>
      <c r="T103" s="108">
        <f>IFERROR(INDEX(lifespans_all!T$80:T$126,MATCH($A103,lifespans_all!$A$80:$A$126,0))*INDEX(SR_mission_minutes!T$2:T$43,MATCH($A103,SR_mission_minutes!$A$2:$A$43)),"-")</f>
        <v>114879</v>
      </c>
      <c r="U103" s="108">
        <f>IFERROR(INDEX(lifespans_all!U$80:U$126,MATCH($A103,lifespans_all!$A$80:$A$126,0))*INDEX(SR_mission_minutes!U$2:U$43,MATCH($A103,SR_mission_minutes!$A$2:$A$43)),"-")</f>
        <v>114879</v>
      </c>
      <c r="V103" s="108">
        <f>IFERROR(INDEX(lifespans_all!V$80:V$126,MATCH($A103,lifespans_all!$A$80:$A$126,0))*INDEX(SR_mission_minutes!V$2:V$43,MATCH($A103,SR_mission_minutes!$A$2:$A$43)),"-")</f>
        <v>114879</v>
      </c>
    </row>
    <row r="104" spans="1:22" x14ac:dyDescent="0.25">
      <c r="A104" s="32" t="s">
        <v>54</v>
      </c>
      <c r="B104" s="32" t="s">
        <v>43</v>
      </c>
      <c r="C104" s="108" t="str">
        <f>IFERROR(INDEX(lifespans_all!C$80:C$126,MATCH($A104,lifespans_all!$A$80:$A$126,0))*INDEX(SR_mission_minutes!C$2:C$43,MATCH($A104,SR_mission_minutes!$A$2:$A$43)),"-")</f>
        <v>-</v>
      </c>
      <c r="D104" s="108" t="str">
        <f>IFERROR(INDEX(lifespans_all!D$80:D$126,MATCH($A104,lifespans_all!$A$80:$A$126,0))*INDEX(SR_mission_minutes!D$2:D$43,MATCH($A104,SR_mission_minutes!$A$2:$A$43)),"-")</f>
        <v>-</v>
      </c>
      <c r="E104" s="108" t="str">
        <f>IFERROR(INDEX(lifespans_all!E$80:E$126,MATCH($A104,lifespans_all!$A$80:$A$126,0))*INDEX(SR_mission_minutes!E$2:E$43,MATCH($A104,SR_mission_minutes!$A$2:$A$43)),"-")</f>
        <v>-</v>
      </c>
      <c r="F104" s="108" t="str">
        <f>IFERROR(INDEX(lifespans_all!F$80:F$126,MATCH($A104,lifespans_all!$A$80:$A$126,0))*INDEX(SR_mission_minutes!F$2:F$43,MATCH($A104,SR_mission_minutes!$A$2:$A$43)),"-")</f>
        <v>-</v>
      </c>
      <c r="G104" s="108" t="str">
        <f>IFERROR(INDEX(lifespans_all!G$80:G$126,MATCH($A104,lifespans_all!$A$80:$A$126,0))*INDEX(SR_mission_minutes!G$2:G$43,MATCH($A104,SR_mission_minutes!$A$2:$A$43)),"-")</f>
        <v>-</v>
      </c>
      <c r="H104" s="108" t="str">
        <f>IFERROR(INDEX(lifespans_all!H$80:H$126,MATCH($A104,lifespans_all!$A$80:$A$126,0))*INDEX(SR_mission_minutes!H$2:H$43,MATCH($A104,SR_mission_minutes!$A$2:$A$43)),"-")</f>
        <v>-</v>
      </c>
      <c r="I104" s="108" t="str">
        <f>IFERROR(INDEX(lifespans_all!I$80:I$126,MATCH($A104,lifespans_all!$A$80:$A$126,0))*INDEX(SR_mission_minutes!I$2:I$43,MATCH($A104,SR_mission_minutes!$A$2:$A$43)),"-")</f>
        <v>-</v>
      </c>
      <c r="J104" s="108" t="str">
        <f>IFERROR(INDEX(lifespans_all!J$80:J$126,MATCH($A104,lifespans_all!$A$80:$A$126,0))*INDEX(SR_mission_minutes!J$2:J$43,MATCH($A104,SR_mission_minutes!$A$2:$A$43)),"-")</f>
        <v>-</v>
      </c>
      <c r="K104" s="108" t="str">
        <f>IFERROR(INDEX(lifespans_all!K$80:K$126,MATCH($A104,lifespans_all!$A$80:$A$126,0))*INDEX(SR_mission_minutes!K$2:K$43,MATCH($A104,SR_mission_minutes!$A$2:$A$43)),"-")</f>
        <v>-</v>
      </c>
      <c r="L104" s="108" t="str">
        <f>IFERROR(INDEX(lifespans_all!L$80:L$126,MATCH($A104,lifespans_all!$A$80:$A$126,0))*INDEX(SR_mission_minutes!L$2:L$43,MATCH($A104,SR_mission_minutes!$A$2:$A$43)),"-")</f>
        <v>-</v>
      </c>
      <c r="M104" s="108" t="str">
        <f>IFERROR(INDEX(lifespans_all!M$80:M$126,MATCH($A104,lifespans_all!$A$80:$A$126,0))*INDEX(SR_mission_minutes!M$2:M$43,MATCH($A104,SR_mission_minutes!$A$2:$A$43)),"-")</f>
        <v>-</v>
      </c>
      <c r="N104" s="108" t="str">
        <f>IFERROR(INDEX(lifespans_all!N$80:N$126,MATCH($A104,lifespans_all!$A$80:$A$126,0))*INDEX(SR_mission_minutes!N$2:N$43,MATCH($A104,SR_mission_minutes!$A$2:$A$43)),"-")</f>
        <v>-</v>
      </c>
      <c r="O104" s="108" t="str">
        <f>IFERROR(INDEX(lifespans_all!O$80:O$126,MATCH($A104,lifespans_all!$A$80:$A$126,0))*INDEX(SR_mission_minutes!O$2:O$43,MATCH($A104,SR_mission_minutes!$A$2:$A$43)),"-")</f>
        <v>-</v>
      </c>
      <c r="P104" s="108" t="str">
        <f>IFERROR(INDEX(lifespans_all!P$80:P$126,MATCH($A104,lifespans_all!$A$80:$A$126,0))*INDEX(SR_mission_minutes!P$2:P$43,MATCH($A104,SR_mission_minutes!$A$2:$A$43)),"-")</f>
        <v>-</v>
      </c>
      <c r="Q104" s="108" t="str">
        <f>IFERROR(INDEX(lifespans_all!Q$80:Q$126,MATCH($A104,lifespans_all!$A$80:$A$126,0))*INDEX(SR_mission_minutes!Q$2:Q$43,MATCH($A104,SR_mission_minutes!$A$2:$A$43)),"-")</f>
        <v>-</v>
      </c>
      <c r="R104" s="108" t="str">
        <f>IFERROR(INDEX(lifespans_all!R$80:R$126,MATCH($A104,lifespans_all!$A$80:$A$126,0))*INDEX(SR_mission_minutes!R$2:R$43,MATCH($A104,SR_mission_minutes!$A$2:$A$43)),"-")</f>
        <v>-</v>
      </c>
      <c r="S104" s="108" t="str">
        <f>IFERROR(INDEX(lifespans_all!S$80:S$126,MATCH($A104,lifespans_all!$A$80:$A$126,0))*INDEX(SR_mission_minutes!S$2:S$43,MATCH($A104,SR_mission_minutes!$A$2:$A$43)),"-")</f>
        <v>-</v>
      </c>
      <c r="T104" s="108" t="str">
        <f>IFERROR(INDEX(lifespans_all!T$80:T$126,MATCH($A104,lifespans_all!$A$80:$A$126,0))*INDEX(SR_mission_minutes!T$2:T$43,MATCH($A104,SR_mission_minutes!$A$2:$A$43)),"-")</f>
        <v>-</v>
      </c>
      <c r="U104" s="108" t="str">
        <f>IFERROR(INDEX(lifespans_all!U$80:U$126,MATCH($A104,lifespans_all!$A$80:$A$126,0))*INDEX(SR_mission_minutes!U$2:U$43,MATCH($A104,SR_mission_minutes!$A$2:$A$43)),"-")</f>
        <v>-</v>
      </c>
      <c r="V104" s="108" t="str">
        <f>IFERROR(INDEX(lifespans_all!V$80:V$126,MATCH($A104,lifespans_all!$A$80:$A$126,0))*INDEX(SR_mission_minutes!V$2:V$43,MATCH($A104,SR_mission_minutes!$A$2:$A$43)),"-")</f>
        <v>-</v>
      </c>
    </row>
    <row r="105" spans="1:22" x14ac:dyDescent="0.25">
      <c r="A105" s="32" t="s">
        <v>31</v>
      </c>
      <c r="B105" s="32" t="s">
        <v>48</v>
      </c>
      <c r="C105" s="108" t="str">
        <f>IFERROR(INDEX(lifespans_all!C$80:C$126,MATCH($A105,lifespans_all!$A$80:$A$126,0))*INDEX(SR_mission_minutes!C$2:C$43,MATCH($A105,SR_mission_minutes!$A$2:$A$43)),"-")</f>
        <v>-</v>
      </c>
      <c r="D105" s="108" t="str">
        <f>IFERROR(INDEX(lifespans_all!D$80:D$126,MATCH($A105,lifespans_all!$A$80:$A$126,0))*INDEX(SR_mission_minutes!D$2:D$43,MATCH($A105,SR_mission_minutes!$A$2:$A$43)),"-")</f>
        <v>-</v>
      </c>
      <c r="E105" s="108" t="str">
        <f>IFERROR(INDEX(lifespans_all!E$80:E$126,MATCH($A105,lifespans_all!$A$80:$A$126,0))*INDEX(SR_mission_minutes!E$2:E$43,MATCH($A105,SR_mission_minutes!$A$2:$A$43)),"-")</f>
        <v>-</v>
      </c>
      <c r="F105" s="108" t="str">
        <f>IFERROR(INDEX(lifespans_all!F$80:F$126,MATCH($A105,lifespans_all!$A$80:$A$126,0))*INDEX(SR_mission_minutes!F$2:F$43,MATCH($A105,SR_mission_minutes!$A$2:$A$43)),"-")</f>
        <v>-</v>
      </c>
      <c r="G105" s="108" t="str">
        <f>IFERROR(INDEX(lifespans_all!G$80:G$126,MATCH($A105,lifespans_all!$A$80:$A$126,0))*INDEX(SR_mission_minutes!G$2:G$43,MATCH($A105,SR_mission_minutes!$A$2:$A$43)),"-")</f>
        <v>-</v>
      </c>
      <c r="H105" s="108" t="str">
        <f>IFERROR(INDEX(lifespans_all!H$80:H$126,MATCH($A105,lifespans_all!$A$80:$A$126,0))*INDEX(SR_mission_minutes!H$2:H$43,MATCH($A105,SR_mission_minutes!$A$2:$A$43)),"-")</f>
        <v>-</v>
      </c>
      <c r="I105" s="108" t="str">
        <f>IFERROR(INDEX(lifespans_all!I$80:I$126,MATCH($A105,lifespans_all!$A$80:$A$126,0))*INDEX(SR_mission_minutes!I$2:I$43,MATCH($A105,SR_mission_minutes!$A$2:$A$43)),"-")</f>
        <v>-</v>
      </c>
      <c r="J105" s="108" t="str">
        <f>IFERROR(INDEX(lifespans_all!J$80:J$126,MATCH($A105,lifespans_all!$A$80:$A$126,0))*INDEX(SR_mission_minutes!J$2:J$43,MATCH($A105,SR_mission_minutes!$A$2:$A$43)),"-")</f>
        <v>-</v>
      </c>
      <c r="K105" s="108" t="str">
        <f>IFERROR(INDEX(lifespans_all!K$80:K$126,MATCH($A105,lifespans_all!$A$80:$A$126,0))*INDEX(SR_mission_minutes!K$2:K$43,MATCH($A105,SR_mission_minutes!$A$2:$A$43)),"-")</f>
        <v>-</v>
      </c>
      <c r="L105" s="108" t="str">
        <f>IFERROR(INDEX(lifespans_all!L$80:L$126,MATCH($A105,lifespans_all!$A$80:$A$126,0))*INDEX(SR_mission_minutes!L$2:L$43,MATCH($A105,SR_mission_minutes!$A$2:$A$43)),"-")</f>
        <v>-</v>
      </c>
      <c r="M105" s="108" t="str">
        <f>IFERROR(INDEX(lifespans_all!M$80:M$126,MATCH($A105,lifespans_all!$A$80:$A$126,0))*INDEX(SR_mission_minutes!M$2:M$43,MATCH($A105,SR_mission_minutes!$A$2:$A$43)),"-")</f>
        <v>-</v>
      </c>
      <c r="N105" s="108" t="str">
        <f>IFERROR(INDEX(lifespans_all!N$80:N$126,MATCH($A105,lifespans_all!$A$80:$A$126,0))*INDEX(SR_mission_minutes!N$2:N$43,MATCH($A105,SR_mission_minutes!$A$2:$A$43)),"-")</f>
        <v>-</v>
      </c>
      <c r="O105" s="108" t="str">
        <f>IFERROR(INDEX(lifespans_all!O$80:O$126,MATCH($A105,lifespans_all!$A$80:$A$126,0))*INDEX(SR_mission_minutes!O$2:O$43,MATCH($A105,SR_mission_minutes!$A$2:$A$43)),"-")</f>
        <v>-</v>
      </c>
      <c r="P105" s="108" t="str">
        <f>IFERROR(INDEX(lifespans_all!P$80:P$126,MATCH($A105,lifespans_all!$A$80:$A$126,0))*INDEX(SR_mission_minutes!P$2:P$43,MATCH($A105,SR_mission_minutes!$A$2:$A$43)),"-")</f>
        <v>-</v>
      </c>
      <c r="Q105" s="108" t="str">
        <f>IFERROR(INDEX(lifespans_all!Q$80:Q$126,MATCH($A105,lifespans_all!$A$80:$A$126,0))*INDEX(SR_mission_minutes!Q$2:Q$43,MATCH($A105,SR_mission_minutes!$A$2:$A$43)),"-")</f>
        <v>-</v>
      </c>
      <c r="R105" s="108" t="str">
        <f>IFERROR(INDEX(lifespans_all!R$80:R$126,MATCH($A105,lifespans_all!$A$80:$A$126,0))*INDEX(SR_mission_minutes!R$2:R$43,MATCH($A105,SR_mission_minutes!$A$2:$A$43)),"-")</f>
        <v>-</v>
      </c>
      <c r="S105" s="108" t="str">
        <f>IFERROR(INDEX(lifespans_all!S$80:S$126,MATCH($A105,lifespans_all!$A$80:$A$126,0))*INDEX(SR_mission_minutes!S$2:S$43,MATCH($A105,SR_mission_minutes!$A$2:$A$43)),"-")</f>
        <v>-</v>
      </c>
      <c r="T105" s="108" t="str">
        <f>IFERROR(INDEX(lifespans_all!T$80:T$126,MATCH($A105,lifespans_all!$A$80:$A$126,0))*INDEX(SR_mission_minutes!T$2:T$43,MATCH($A105,SR_mission_minutes!$A$2:$A$43)),"-")</f>
        <v>-</v>
      </c>
      <c r="U105" s="108" t="str">
        <f>IFERROR(INDEX(lifespans_all!U$80:U$126,MATCH($A105,lifespans_all!$A$80:$A$126,0))*INDEX(SR_mission_minutes!U$2:U$43,MATCH($A105,SR_mission_minutes!$A$2:$A$43)),"-")</f>
        <v>-</v>
      </c>
      <c r="V105" s="108" t="str">
        <f>IFERROR(INDEX(lifespans_all!V$80:V$126,MATCH($A105,lifespans_all!$A$80:$A$126,0))*INDEX(SR_mission_minutes!V$2:V$43,MATCH($A105,SR_mission_minutes!$A$2:$A$43)),"-")</f>
        <v>-</v>
      </c>
    </row>
    <row r="106" spans="1:22" x14ac:dyDescent="0.25">
      <c r="A106" s="32" t="s">
        <v>32</v>
      </c>
      <c r="B106" s="32" t="s">
        <v>48</v>
      </c>
      <c r="C106" s="108" t="str">
        <f>IFERROR(INDEX(lifespans_all!C$80:C$126,MATCH($A106,lifespans_all!$A$80:$A$126,0))*INDEX(SR_mission_minutes!C$2:C$43,MATCH($A106,SR_mission_minutes!$A$2:$A$43)),"-")</f>
        <v>-</v>
      </c>
      <c r="D106" s="108" t="str">
        <f>IFERROR(INDEX(lifespans_all!D$80:D$126,MATCH($A106,lifespans_all!$A$80:$A$126,0))*INDEX(SR_mission_minutes!D$2:D$43,MATCH($A106,SR_mission_minutes!$A$2:$A$43)),"-")</f>
        <v>-</v>
      </c>
      <c r="E106" s="108" t="str">
        <f>IFERROR(INDEX(lifespans_all!E$80:E$126,MATCH($A106,lifespans_all!$A$80:$A$126,0))*INDEX(SR_mission_minutes!E$2:E$43,MATCH($A106,SR_mission_minutes!$A$2:$A$43)),"-")</f>
        <v>-</v>
      </c>
      <c r="F106" s="108" t="str">
        <f>IFERROR(INDEX(lifespans_all!F$80:F$126,MATCH($A106,lifespans_all!$A$80:$A$126,0))*INDEX(SR_mission_minutes!F$2:F$43,MATCH($A106,SR_mission_minutes!$A$2:$A$43)),"-")</f>
        <v>-</v>
      </c>
      <c r="G106" s="108" t="str">
        <f>IFERROR(INDEX(lifespans_all!G$80:G$126,MATCH($A106,lifespans_all!$A$80:$A$126,0))*INDEX(SR_mission_minutes!G$2:G$43,MATCH($A106,SR_mission_minutes!$A$2:$A$43)),"-")</f>
        <v>-</v>
      </c>
      <c r="H106" s="108" t="str">
        <f>IFERROR(INDEX(lifespans_all!H$80:H$126,MATCH($A106,lifespans_all!$A$80:$A$126,0))*INDEX(SR_mission_minutes!H$2:H$43,MATCH($A106,SR_mission_minutes!$A$2:$A$43)),"-")</f>
        <v>-</v>
      </c>
      <c r="I106" s="108" t="str">
        <f>IFERROR(INDEX(lifespans_all!I$80:I$126,MATCH($A106,lifespans_all!$A$80:$A$126,0))*INDEX(SR_mission_minutes!I$2:I$43,MATCH($A106,SR_mission_minutes!$A$2:$A$43)),"-")</f>
        <v>-</v>
      </c>
      <c r="J106" s="108" t="str">
        <f>IFERROR(INDEX(lifespans_all!J$80:J$126,MATCH($A106,lifespans_all!$A$80:$A$126,0))*INDEX(SR_mission_minutes!J$2:J$43,MATCH($A106,SR_mission_minutes!$A$2:$A$43)),"-")</f>
        <v>-</v>
      </c>
      <c r="K106" s="108" t="str">
        <f>IFERROR(INDEX(lifespans_all!K$80:K$126,MATCH($A106,lifespans_all!$A$80:$A$126,0))*INDEX(SR_mission_minutes!K$2:K$43,MATCH($A106,SR_mission_minutes!$A$2:$A$43)),"-")</f>
        <v>-</v>
      </c>
      <c r="L106" s="108" t="str">
        <f>IFERROR(INDEX(lifespans_all!L$80:L$126,MATCH($A106,lifespans_all!$A$80:$A$126,0))*INDEX(SR_mission_minutes!L$2:L$43,MATCH($A106,SR_mission_minutes!$A$2:$A$43)),"-")</f>
        <v>-</v>
      </c>
      <c r="M106" s="108" t="str">
        <f>IFERROR(INDEX(lifespans_all!M$80:M$126,MATCH($A106,lifespans_all!$A$80:$A$126,0))*INDEX(SR_mission_minutes!M$2:M$43,MATCH($A106,SR_mission_minutes!$A$2:$A$43)),"-")</f>
        <v>-</v>
      </c>
      <c r="N106" s="108" t="str">
        <f>IFERROR(INDEX(lifespans_all!N$80:N$126,MATCH($A106,lifespans_all!$A$80:$A$126,0))*INDEX(SR_mission_minutes!N$2:N$43,MATCH($A106,SR_mission_minutes!$A$2:$A$43)),"-")</f>
        <v>-</v>
      </c>
      <c r="O106" s="108" t="str">
        <f>IFERROR(INDEX(lifespans_all!O$80:O$126,MATCH($A106,lifespans_all!$A$80:$A$126,0))*INDEX(SR_mission_minutes!O$2:O$43,MATCH($A106,SR_mission_minutes!$A$2:$A$43)),"-")</f>
        <v>-</v>
      </c>
      <c r="P106" s="108" t="str">
        <f>IFERROR(INDEX(lifespans_all!P$80:P$126,MATCH($A106,lifespans_all!$A$80:$A$126,0))*INDEX(SR_mission_minutes!P$2:P$43,MATCH($A106,SR_mission_minutes!$A$2:$A$43)),"-")</f>
        <v>-</v>
      </c>
      <c r="Q106" s="108" t="str">
        <f>IFERROR(INDEX(lifespans_all!Q$80:Q$126,MATCH($A106,lifespans_all!$A$80:$A$126,0))*INDEX(SR_mission_minutes!Q$2:Q$43,MATCH($A106,SR_mission_minutes!$A$2:$A$43)),"-")</f>
        <v>-</v>
      </c>
      <c r="R106" s="108" t="str">
        <f>IFERROR(INDEX(lifespans_all!R$80:R$126,MATCH($A106,lifespans_all!$A$80:$A$126,0))*INDEX(SR_mission_minutes!R$2:R$43,MATCH($A106,SR_mission_minutes!$A$2:$A$43)),"-")</f>
        <v>-</v>
      </c>
      <c r="S106" s="108" t="str">
        <f>IFERROR(INDEX(lifespans_all!S$80:S$126,MATCH($A106,lifespans_all!$A$80:$A$126,0))*INDEX(SR_mission_minutes!S$2:S$43,MATCH($A106,SR_mission_minutes!$A$2:$A$43)),"-")</f>
        <v>-</v>
      </c>
      <c r="T106" s="108" t="str">
        <f>IFERROR(INDEX(lifespans_all!T$80:T$126,MATCH($A106,lifespans_all!$A$80:$A$126,0))*INDEX(SR_mission_minutes!T$2:T$43,MATCH($A106,SR_mission_minutes!$A$2:$A$43)),"-")</f>
        <v>-</v>
      </c>
      <c r="U106" s="108" t="str">
        <f>IFERROR(INDEX(lifespans_all!U$80:U$126,MATCH($A106,lifespans_all!$A$80:$A$126,0))*INDEX(SR_mission_minutes!U$2:U$43,MATCH($A106,SR_mission_minutes!$A$2:$A$43)),"-")</f>
        <v>-</v>
      </c>
      <c r="V106" s="108" t="str">
        <f>IFERROR(INDEX(lifespans_all!V$80:V$126,MATCH($A106,lifespans_all!$A$80:$A$126,0))*INDEX(SR_mission_minutes!V$2:V$43,MATCH($A106,SR_mission_minutes!$A$2:$A$43)),"-")</f>
        <v>-</v>
      </c>
    </row>
    <row r="107" spans="1:22" x14ac:dyDescent="0.25">
      <c r="A107" s="32" t="s">
        <v>33</v>
      </c>
      <c r="B107" s="32" t="s">
        <v>41</v>
      </c>
      <c r="C107" s="108">
        <f>IFERROR(INDEX(lifespans_all!C$80:C$126,MATCH($A107,lifespans_all!$A$80:$A$126,0))*INDEX(SR_mission_minutes!C$2:C$43,MATCH($A107,SR_mission_minutes!$A$2:$A$43)),"-")</f>
        <v>0</v>
      </c>
      <c r="D107" s="108">
        <f>IFERROR(INDEX(lifespans_all!D$80:D$126,MATCH($A107,lifespans_all!$A$80:$A$126,0))*INDEX(SR_mission_minutes!D$2:D$43,MATCH($A107,SR_mission_minutes!$A$2:$A$43)),"-")</f>
        <v>0</v>
      </c>
      <c r="E107" s="108">
        <f>IFERROR(INDEX(lifespans_all!E$80:E$126,MATCH($A107,lifespans_all!$A$80:$A$126,0))*INDEX(SR_mission_minutes!E$2:E$43,MATCH($A107,SR_mission_minutes!$A$2:$A$43)),"-")</f>
        <v>0</v>
      </c>
      <c r="F107" s="108">
        <f>IFERROR(INDEX(lifespans_all!F$80:F$126,MATCH($A107,lifespans_all!$A$80:$A$126,0))*INDEX(SR_mission_minutes!F$2:F$43,MATCH($A107,SR_mission_minutes!$A$2:$A$43)),"-")</f>
        <v>0</v>
      </c>
      <c r="G107" s="108">
        <f>IFERROR(INDEX(lifespans_all!G$80:G$126,MATCH($A107,lifespans_all!$A$80:$A$126,0))*INDEX(SR_mission_minutes!G$2:G$43,MATCH($A107,SR_mission_minutes!$A$2:$A$43)),"-")</f>
        <v>0</v>
      </c>
      <c r="H107" s="108">
        <f>IFERROR(INDEX(lifespans_all!H$80:H$126,MATCH($A107,lifespans_all!$A$80:$A$126,0))*INDEX(SR_mission_minutes!H$2:H$43,MATCH($A107,SR_mission_minutes!$A$2:$A$43)),"-")</f>
        <v>0</v>
      </c>
      <c r="I107" s="108">
        <f>IFERROR(INDEX(lifespans_all!I$80:I$126,MATCH($A107,lifespans_all!$A$80:$A$126,0))*INDEX(SR_mission_minutes!I$2:I$43,MATCH($A107,SR_mission_minutes!$A$2:$A$43)),"-")</f>
        <v>0</v>
      </c>
      <c r="J107" s="108">
        <f>IFERROR(INDEX(lifespans_all!J$80:J$126,MATCH($A107,lifespans_all!$A$80:$A$126,0))*INDEX(SR_mission_minutes!J$2:J$43,MATCH($A107,SR_mission_minutes!$A$2:$A$43)),"-")</f>
        <v>0</v>
      </c>
      <c r="K107" s="108">
        <f>IFERROR(INDEX(lifespans_all!K$80:K$126,MATCH($A107,lifespans_all!$A$80:$A$126,0))*INDEX(SR_mission_minutes!K$2:K$43,MATCH($A107,SR_mission_minutes!$A$2:$A$43)),"-")</f>
        <v>0</v>
      </c>
      <c r="L107" s="108">
        <f>IFERROR(INDEX(lifespans_all!L$80:L$126,MATCH($A107,lifespans_all!$A$80:$A$126,0))*INDEX(SR_mission_minutes!L$2:L$43,MATCH($A107,SR_mission_minutes!$A$2:$A$43)),"-")</f>
        <v>0</v>
      </c>
      <c r="M107" s="108">
        <f>IFERROR(INDEX(lifespans_all!M$80:M$126,MATCH($A107,lifespans_all!$A$80:$A$126,0))*INDEX(SR_mission_minutes!M$2:M$43,MATCH($A107,SR_mission_minutes!$A$2:$A$43)),"-")</f>
        <v>0</v>
      </c>
      <c r="N107" s="108">
        <f>IFERROR(INDEX(lifespans_all!N$80:N$126,MATCH($A107,lifespans_all!$A$80:$A$126,0))*INDEX(SR_mission_minutes!N$2:N$43,MATCH($A107,SR_mission_minutes!$A$2:$A$43)),"-")</f>
        <v>0</v>
      </c>
      <c r="O107" s="108">
        <f>IFERROR(INDEX(lifespans_all!O$80:O$126,MATCH($A107,lifespans_all!$A$80:$A$126,0))*INDEX(SR_mission_minutes!O$2:O$43,MATCH($A107,SR_mission_minutes!$A$2:$A$43)),"-")</f>
        <v>0</v>
      </c>
      <c r="P107" s="108">
        <f>IFERROR(INDEX(lifespans_all!P$80:P$126,MATCH($A107,lifespans_all!$A$80:$A$126,0))*INDEX(SR_mission_minutes!P$2:P$43,MATCH($A107,SR_mission_minutes!$A$2:$A$43)),"-")</f>
        <v>0</v>
      </c>
      <c r="Q107" s="108">
        <f>IFERROR(INDEX(lifespans_all!Q$80:Q$126,MATCH($A107,lifespans_all!$A$80:$A$126,0))*INDEX(SR_mission_minutes!Q$2:Q$43,MATCH($A107,SR_mission_minutes!$A$2:$A$43)),"-")</f>
        <v>0</v>
      </c>
      <c r="R107" s="108">
        <f>IFERROR(INDEX(lifespans_all!R$80:R$126,MATCH($A107,lifespans_all!$A$80:$A$126,0))*INDEX(SR_mission_minutes!R$2:R$43,MATCH($A107,SR_mission_minutes!$A$2:$A$43)),"-")</f>
        <v>0</v>
      </c>
      <c r="S107" s="108">
        <f>IFERROR(INDEX(lifespans_all!S$80:S$126,MATCH($A107,lifespans_all!$A$80:$A$126,0))*INDEX(SR_mission_minutes!S$2:S$43,MATCH($A107,SR_mission_minutes!$A$2:$A$43)),"-")</f>
        <v>0</v>
      </c>
      <c r="T107" s="108">
        <f>IFERROR(INDEX(lifespans_all!T$80:T$126,MATCH($A107,lifespans_all!$A$80:$A$126,0))*INDEX(SR_mission_minutes!T$2:T$43,MATCH($A107,SR_mission_minutes!$A$2:$A$43)),"-")</f>
        <v>0</v>
      </c>
      <c r="U107" s="108">
        <f>IFERROR(INDEX(lifespans_all!U$80:U$126,MATCH($A107,lifespans_all!$A$80:$A$126,0))*INDEX(SR_mission_minutes!U$2:U$43,MATCH($A107,SR_mission_minutes!$A$2:$A$43)),"-")</f>
        <v>0</v>
      </c>
      <c r="V107" s="108">
        <f>IFERROR(INDEX(lifespans_all!V$80:V$126,MATCH($A107,lifespans_all!$A$80:$A$126,0))*INDEX(SR_mission_minutes!V$2:V$43,MATCH($A107,SR_mission_minutes!$A$2:$A$43)),"-")</f>
        <v>0</v>
      </c>
    </row>
    <row r="108" spans="1:22" x14ac:dyDescent="0.25">
      <c r="A108" s="32" t="s">
        <v>34</v>
      </c>
      <c r="B108" s="32" t="s">
        <v>45</v>
      </c>
      <c r="C108" s="108">
        <f>IFERROR(INDEX(lifespans_all!C$80:C$126,MATCH($A108,lifespans_all!$A$80:$A$126,0))*INDEX(SR_mission_minutes!C$2:C$43,MATCH($A108,SR_mission_minutes!$A$2:$A$43)),"-")</f>
        <v>33739.333333333336</v>
      </c>
      <c r="D108" s="108">
        <f>IFERROR(INDEX(lifespans_all!D$80:D$126,MATCH($A108,lifespans_all!$A$80:$A$126,0))*INDEX(SR_mission_minutes!D$2:D$43,MATCH($A108,SR_mission_minutes!$A$2:$A$43)),"-")</f>
        <v>33739.333333333336</v>
      </c>
      <c r="E108" s="108">
        <f>IFERROR(INDEX(lifespans_all!E$80:E$126,MATCH($A108,lifespans_all!$A$80:$A$126,0))*INDEX(SR_mission_minutes!E$2:E$43,MATCH($A108,SR_mission_minutes!$A$2:$A$43)),"-")</f>
        <v>33739.333333333336</v>
      </c>
      <c r="F108" s="108">
        <f>IFERROR(INDEX(lifespans_all!F$80:F$126,MATCH($A108,lifespans_all!$A$80:$A$126,0))*INDEX(SR_mission_minutes!F$2:F$43,MATCH($A108,SR_mission_minutes!$A$2:$A$43)),"-")</f>
        <v>33739.333333333336</v>
      </c>
      <c r="G108" s="108">
        <f>IFERROR(INDEX(lifespans_all!G$80:G$126,MATCH($A108,lifespans_all!$A$80:$A$126,0))*INDEX(SR_mission_minutes!G$2:G$43,MATCH($A108,SR_mission_minutes!$A$2:$A$43)),"-")</f>
        <v>33739.333333333336</v>
      </c>
      <c r="H108" s="108">
        <f>IFERROR(INDEX(lifespans_all!H$80:H$126,MATCH($A108,lifespans_all!$A$80:$A$126,0))*INDEX(SR_mission_minutes!H$2:H$43,MATCH($A108,SR_mission_minutes!$A$2:$A$43)),"-")</f>
        <v>0</v>
      </c>
      <c r="I108" s="108">
        <f>IFERROR(INDEX(lifespans_all!I$80:I$126,MATCH($A108,lifespans_all!$A$80:$A$126,0))*INDEX(SR_mission_minutes!I$2:I$43,MATCH($A108,SR_mission_minutes!$A$2:$A$43)),"-")</f>
        <v>0</v>
      </c>
      <c r="J108" s="108">
        <f>IFERROR(INDEX(lifespans_all!J$80:J$126,MATCH($A108,lifespans_all!$A$80:$A$126,0))*INDEX(SR_mission_minutes!J$2:J$43,MATCH($A108,SR_mission_minutes!$A$2:$A$43)),"-")</f>
        <v>0</v>
      </c>
      <c r="K108" s="108">
        <f>IFERROR(INDEX(lifespans_all!K$80:K$126,MATCH($A108,lifespans_all!$A$80:$A$126,0))*INDEX(SR_mission_minutes!K$2:K$43,MATCH($A108,SR_mission_minutes!$A$2:$A$43)),"-")</f>
        <v>0</v>
      </c>
      <c r="L108" s="108">
        <f>IFERROR(INDEX(lifespans_all!L$80:L$126,MATCH($A108,lifespans_all!$A$80:$A$126,0))*INDEX(SR_mission_minutes!L$2:L$43,MATCH($A108,SR_mission_minutes!$A$2:$A$43)),"-")</f>
        <v>0</v>
      </c>
      <c r="M108" s="108">
        <f>IFERROR(INDEX(lifespans_all!M$80:M$126,MATCH($A108,lifespans_all!$A$80:$A$126,0))*INDEX(SR_mission_minutes!M$2:M$43,MATCH($A108,SR_mission_minutes!$A$2:$A$43)),"-")</f>
        <v>0</v>
      </c>
      <c r="N108" s="108">
        <f>IFERROR(INDEX(lifespans_all!N$80:N$126,MATCH($A108,lifespans_all!$A$80:$A$126,0))*INDEX(SR_mission_minutes!N$2:N$43,MATCH($A108,SR_mission_minutes!$A$2:$A$43)),"-")</f>
        <v>0</v>
      </c>
      <c r="O108" s="108">
        <f>IFERROR(INDEX(lifespans_all!O$80:O$126,MATCH($A108,lifespans_all!$A$80:$A$126,0))*INDEX(SR_mission_minutes!O$2:O$43,MATCH($A108,SR_mission_minutes!$A$2:$A$43)),"-")</f>
        <v>0</v>
      </c>
      <c r="P108" s="108">
        <f>IFERROR(INDEX(lifespans_all!P$80:P$126,MATCH($A108,lifespans_all!$A$80:$A$126,0))*INDEX(SR_mission_minutes!P$2:P$43,MATCH($A108,SR_mission_minutes!$A$2:$A$43)),"-")</f>
        <v>0</v>
      </c>
      <c r="Q108" s="108">
        <f>IFERROR(INDEX(lifespans_all!Q$80:Q$126,MATCH($A108,lifespans_all!$A$80:$A$126,0))*INDEX(SR_mission_minutes!Q$2:Q$43,MATCH($A108,SR_mission_minutes!$A$2:$A$43)),"-")</f>
        <v>0</v>
      </c>
      <c r="R108" s="108">
        <f>IFERROR(INDEX(lifespans_all!R$80:R$126,MATCH($A108,lifespans_all!$A$80:$A$126,0))*INDEX(SR_mission_minutes!R$2:R$43,MATCH($A108,SR_mission_minutes!$A$2:$A$43)),"-")</f>
        <v>0</v>
      </c>
      <c r="S108" s="108">
        <f>IFERROR(INDEX(lifespans_all!S$80:S$126,MATCH($A108,lifespans_all!$A$80:$A$126,0))*INDEX(SR_mission_minutes!S$2:S$43,MATCH($A108,SR_mission_minutes!$A$2:$A$43)),"-")</f>
        <v>0</v>
      </c>
      <c r="T108" s="108">
        <f>IFERROR(INDEX(lifespans_all!T$80:T$126,MATCH($A108,lifespans_all!$A$80:$A$126,0))*INDEX(SR_mission_minutes!T$2:T$43,MATCH($A108,SR_mission_minutes!$A$2:$A$43)),"-")</f>
        <v>0</v>
      </c>
      <c r="U108" s="108">
        <f>IFERROR(INDEX(lifespans_all!U$80:U$126,MATCH($A108,lifespans_all!$A$80:$A$126,0))*INDEX(SR_mission_minutes!U$2:U$43,MATCH($A108,SR_mission_minutes!$A$2:$A$43)),"-")</f>
        <v>0</v>
      </c>
      <c r="V108" s="108">
        <f>IFERROR(INDEX(lifespans_all!V$80:V$126,MATCH($A108,lifespans_all!$A$80:$A$126,0))*INDEX(SR_mission_minutes!V$2:V$43,MATCH($A108,SR_mission_minutes!$A$2:$A$43)),"-")</f>
        <v>0</v>
      </c>
    </row>
    <row r="109" spans="1:22" x14ac:dyDescent="0.25">
      <c r="A109" s="32" t="s">
        <v>63</v>
      </c>
      <c r="B109" s="32" t="s">
        <v>43</v>
      </c>
      <c r="C109" s="108">
        <f>IFERROR(INDEX(lifespans_all!C$80:C$126,MATCH($A109,lifespans_all!$A$80:$A$126,0))*INDEX(SR_mission_minutes!C$2:C$43,MATCH($A109,SR_mission_minutes!$A$2:$A$43)),"-")</f>
        <v>114879</v>
      </c>
      <c r="D109" s="108">
        <f>IFERROR(INDEX(lifespans_all!D$80:D$126,MATCH($A109,lifespans_all!$A$80:$A$126,0))*INDEX(SR_mission_minutes!D$2:D$43,MATCH($A109,SR_mission_minutes!$A$2:$A$43)),"-")</f>
        <v>114879</v>
      </c>
      <c r="E109" s="108">
        <f>IFERROR(INDEX(lifespans_all!E$80:E$126,MATCH($A109,lifespans_all!$A$80:$A$126,0))*INDEX(SR_mission_minutes!E$2:E$43,MATCH($A109,SR_mission_minutes!$A$2:$A$43)),"-")</f>
        <v>114879</v>
      </c>
      <c r="F109" s="108">
        <f>IFERROR(INDEX(lifespans_all!F$80:F$126,MATCH($A109,lifespans_all!$A$80:$A$126,0))*INDEX(SR_mission_minutes!F$2:F$43,MATCH($A109,SR_mission_minutes!$A$2:$A$43)),"-")</f>
        <v>114879</v>
      </c>
      <c r="G109" s="108">
        <f>IFERROR(INDEX(lifespans_all!G$80:G$126,MATCH($A109,lifespans_all!$A$80:$A$126,0))*INDEX(SR_mission_minutes!G$2:G$43,MATCH($A109,SR_mission_minutes!$A$2:$A$43)),"-")</f>
        <v>114879</v>
      </c>
      <c r="H109" s="108">
        <f>IFERROR(INDEX(lifespans_all!H$80:H$126,MATCH($A109,lifespans_all!$A$80:$A$126,0))*INDEX(SR_mission_minutes!H$2:H$43,MATCH($A109,SR_mission_minutes!$A$2:$A$43)),"-")</f>
        <v>114879</v>
      </c>
      <c r="I109" s="108">
        <f>IFERROR(INDEX(lifespans_all!I$80:I$126,MATCH($A109,lifespans_all!$A$80:$A$126,0))*INDEX(SR_mission_minutes!I$2:I$43,MATCH($A109,SR_mission_minutes!$A$2:$A$43)),"-")</f>
        <v>114879</v>
      </c>
      <c r="J109" s="108">
        <f>IFERROR(INDEX(lifespans_all!J$80:J$126,MATCH($A109,lifespans_all!$A$80:$A$126,0))*INDEX(SR_mission_minutes!J$2:J$43,MATCH($A109,SR_mission_minutes!$A$2:$A$43)),"-")</f>
        <v>114879</v>
      </c>
      <c r="K109" s="108">
        <f>IFERROR(INDEX(lifespans_all!K$80:K$126,MATCH($A109,lifespans_all!$A$80:$A$126,0))*INDEX(SR_mission_minutes!K$2:K$43,MATCH($A109,SR_mission_minutes!$A$2:$A$43)),"-")</f>
        <v>114879</v>
      </c>
      <c r="L109" s="108">
        <f>IFERROR(INDEX(lifespans_all!L$80:L$126,MATCH($A109,lifespans_all!$A$80:$A$126,0))*INDEX(SR_mission_minutes!L$2:L$43,MATCH($A109,SR_mission_minutes!$A$2:$A$43)),"-")</f>
        <v>114879</v>
      </c>
      <c r="M109" s="108">
        <f>IFERROR(INDEX(lifespans_all!M$80:M$126,MATCH($A109,lifespans_all!$A$80:$A$126,0))*INDEX(SR_mission_minutes!M$2:M$43,MATCH($A109,SR_mission_minutes!$A$2:$A$43)),"-")</f>
        <v>114879</v>
      </c>
      <c r="N109" s="108">
        <f>IFERROR(INDEX(lifespans_all!N$80:N$126,MATCH($A109,lifespans_all!$A$80:$A$126,0))*INDEX(SR_mission_minutes!N$2:N$43,MATCH($A109,SR_mission_minutes!$A$2:$A$43)),"-")</f>
        <v>114879</v>
      </c>
      <c r="O109" s="108">
        <f>IFERROR(INDEX(lifespans_all!O$80:O$126,MATCH($A109,lifespans_all!$A$80:$A$126,0))*INDEX(SR_mission_minutes!O$2:O$43,MATCH($A109,SR_mission_minutes!$A$2:$A$43)),"-")</f>
        <v>114879</v>
      </c>
      <c r="P109" s="108">
        <f>IFERROR(INDEX(lifespans_all!P$80:P$126,MATCH($A109,lifespans_all!$A$80:$A$126,0))*INDEX(SR_mission_minutes!P$2:P$43,MATCH($A109,SR_mission_minutes!$A$2:$A$43)),"-")</f>
        <v>114879</v>
      </c>
      <c r="Q109" s="108">
        <f>IFERROR(INDEX(lifespans_all!Q$80:Q$126,MATCH($A109,lifespans_all!$A$80:$A$126,0))*INDEX(SR_mission_minutes!Q$2:Q$43,MATCH($A109,SR_mission_minutes!$A$2:$A$43)),"-")</f>
        <v>114879</v>
      </c>
      <c r="R109" s="108">
        <f>IFERROR(INDEX(lifespans_all!R$80:R$126,MATCH($A109,lifespans_all!$A$80:$A$126,0))*INDEX(SR_mission_minutes!R$2:R$43,MATCH($A109,SR_mission_minutes!$A$2:$A$43)),"-")</f>
        <v>114879</v>
      </c>
      <c r="S109" s="108">
        <f>IFERROR(INDEX(lifespans_all!S$80:S$126,MATCH($A109,lifespans_all!$A$80:$A$126,0))*INDEX(SR_mission_minutes!S$2:S$43,MATCH($A109,SR_mission_minutes!$A$2:$A$43)),"-")</f>
        <v>114879</v>
      </c>
      <c r="T109" s="108">
        <f>IFERROR(INDEX(lifespans_all!T$80:T$126,MATCH($A109,lifespans_all!$A$80:$A$126,0))*INDEX(SR_mission_minutes!T$2:T$43,MATCH($A109,SR_mission_minutes!$A$2:$A$43)),"-")</f>
        <v>114879</v>
      </c>
      <c r="U109" s="108">
        <f>IFERROR(INDEX(lifespans_all!U$80:U$126,MATCH($A109,lifespans_all!$A$80:$A$126,0))*INDEX(SR_mission_minutes!U$2:U$43,MATCH($A109,SR_mission_minutes!$A$2:$A$43)),"-")</f>
        <v>114879</v>
      </c>
      <c r="V109" s="108">
        <f>IFERROR(INDEX(lifespans_all!V$80:V$126,MATCH($A109,lifespans_all!$A$80:$A$126,0))*INDEX(SR_mission_minutes!V$2:V$43,MATCH($A109,SR_mission_minutes!$A$2:$A$43)),"-")</f>
        <v>114879</v>
      </c>
    </row>
    <row r="110" spans="1:22" x14ac:dyDescent="0.25">
      <c r="A110" s="32" t="s">
        <v>64</v>
      </c>
      <c r="B110" s="32" t="s">
        <v>46</v>
      </c>
      <c r="C110" s="108" t="str">
        <f>IFERROR(INDEX(lifespans_all!C$80:C$126,MATCH($A110,lifespans_all!$A$80:$A$126,0))*INDEX(SR_mission_minutes!C$2:C$43,MATCH($A110,SR_mission_minutes!$A$2:$A$43)),"-")</f>
        <v>-</v>
      </c>
      <c r="D110" s="108" t="str">
        <f>IFERROR(INDEX(lifespans_all!D$80:D$126,MATCH($A110,lifespans_all!$A$80:$A$126,0))*INDEX(SR_mission_minutes!D$2:D$43,MATCH($A110,SR_mission_minutes!$A$2:$A$43)),"-")</f>
        <v>-</v>
      </c>
      <c r="E110" s="108" t="str">
        <f>IFERROR(INDEX(lifespans_all!E$80:E$126,MATCH($A110,lifespans_all!$A$80:$A$126,0))*INDEX(SR_mission_minutes!E$2:E$43,MATCH($A110,SR_mission_minutes!$A$2:$A$43)),"-")</f>
        <v>-</v>
      </c>
      <c r="F110" s="108" t="str">
        <f>IFERROR(INDEX(lifespans_all!F$80:F$126,MATCH($A110,lifespans_all!$A$80:$A$126,0))*INDEX(SR_mission_minutes!F$2:F$43,MATCH($A110,SR_mission_minutes!$A$2:$A$43)),"-")</f>
        <v>-</v>
      </c>
      <c r="G110" s="108" t="str">
        <f>IFERROR(INDEX(lifespans_all!G$80:G$126,MATCH($A110,lifespans_all!$A$80:$A$126,0))*INDEX(SR_mission_minutes!G$2:G$43,MATCH($A110,SR_mission_minutes!$A$2:$A$43)),"-")</f>
        <v>-</v>
      </c>
      <c r="H110" s="108" t="str">
        <f>IFERROR(INDEX(lifespans_all!H$80:H$126,MATCH($A110,lifespans_all!$A$80:$A$126,0))*INDEX(SR_mission_minutes!H$2:H$43,MATCH($A110,SR_mission_minutes!$A$2:$A$43)),"-")</f>
        <v>-</v>
      </c>
      <c r="I110" s="108" t="str">
        <f>IFERROR(INDEX(lifespans_all!I$80:I$126,MATCH($A110,lifespans_all!$A$80:$A$126,0))*INDEX(SR_mission_minutes!I$2:I$43,MATCH($A110,SR_mission_minutes!$A$2:$A$43)),"-")</f>
        <v>-</v>
      </c>
      <c r="J110" s="108" t="str">
        <f>IFERROR(INDEX(lifespans_all!J$80:J$126,MATCH($A110,lifespans_all!$A$80:$A$126,0))*INDEX(SR_mission_minutes!J$2:J$43,MATCH($A110,SR_mission_minutes!$A$2:$A$43)),"-")</f>
        <v>-</v>
      </c>
      <c r="K110" s="108" t="str">
        <f>IFERROR(INDEX(lifespans_all!K$80:K$126,MATCH($A110,lifespans_all!$A$80:$A$126,0))*INDEX(SR_mission_minutes!K$2:K$43,MATCH($A110,SR_mission_minutes!$A$2:$A$43)),"-")</f>
        <v>-</v>
      </c>
      <c r="L110" s="108" t="str">
        <f>IFERROR(INDEX(lifespans_all!L$80:L$126,MATCH($A110,lifespans_all!$A$80:$A$126,0))*INDEX(SR_mission_minutes!L$2:L$43,MATCH($A110,SR_mission_minutes!$A$2:$A$43)),"-")</f>
        <v>-</v>
      </c>
      <c r="M110" s="108" t="str">
        <f>IFERROR(INDEX(lifespans_all!M$80:M$126,MATCH($A110,lifespans_all!$A$80:$A$126,0))*INDEX(SR_mission_minutes!M$2:M$43,MATCH($A110,SR_mission_minutes!$A$2:$A$43)),"-")</f>
        <v>-</v>
      </c>
      <c r="N110" s="108" t="str">
        <f>IFERROR(INDEX(lifespans_all!N$80:N$126,MATCH($A110,lifespans_all!$A$80:$A$126,0))*INDEX(SR_mission_minutes!N$2:N$43,MATCH($A110,SR_mission_minutes!$A$2:$A$43)),"-")</f>
        <v>-</v>
      </c>
      <c r="O110" s="108" t="str">
        <f>IFERROR(INDEX(lifespans_all!O$80:O$126,MATCH($A110,lifespans_all!$A$80:$A$126,0))*INDEX(SR_mission_minutes!O$2:O$43,MATCH($A110,SR_mission_minutes!$A$2:$A$43)),"-")</f>
        <v>-</v>
      </c>
      <c r="P110" s="108" t="str">
        <f>IFERROR(INDEX(lifespans_all!P$80:P$126,MATCH($A110,lifespans_all!$A$80:$A$126,0))*INDEX(SR_mission_minutes!P$2:P$43,MATCH($A110,SR_mission_minutes!$A$2:$A$43)),"-")</f>
        <v>-</v>
      </c>
      <c r="Q110" s="108" t="str">
        <f>IFERROR(INDEX(lifespans_all!Q$80:Q$126,MATCH($A110,lifespans_all!$A$80:$A$126,0))*INDEX(SR_mission_minutes!Q$2:Q$43,MATCH($A110,SR_mission_minutes!$A$2:$A$43)),"-")</f>
        <v>-</v>
      </c>
      <c r="R110" s="108" t="str">
        <f>IFERROR(INDEX(lifespans_all!R$80:R$126,MATCH($A110,lifespans_all!$A$80:$A$126,0))*INDEX(SR_mission_minutes!R$2:R$43,MATCH($A110,SR_mission_minutes!$A$2:$A$43)),"-")</f>
        <v>-</v>
      </c>
      <c r="S110" s="108" t="str">
        <f>IFERROR(INDEX(lifespans_all!S$80:S$126,MATCH($A110,lifespans_all!$A$80:$A$126,0))*INDEX(SR_mission_minutes!S$2:S$43,MATCH($A110,SR_mission_minutes!$A$2:$A$43)),"-")</f>
        <v>-</v>
      </c>
      <c r="T110" s="108" t="str">
        <f>IFERROR(INDEX(lifespans_all!T$80:T$126,MATCH($A110,lifespans_all!$A$80:$A$126,0))*INDEX(SR_mission_minutes!T$2:T$43,MATCH($A110,SR_mission_minutes!$A$2:$A$43)),"-")</f>
        <v>-</v>
      </c>
      <c r="U110" s="108" t="str">
        <f>IFERROR(INDEX(lifespans_all!U$80:U$126,MATCH($A110,lifespans_all!$A$80:$A$126,0))*INDEX(SR_mission_minutes!U$2:U$43,MATCH($A110,SR_mission_minutes!$A$2:$A$43)),"-")</f>
        <v>-</v>
      </c>
      <c r="V110" s="108" t="str">
        <f>IFERROR(INDEX(lifespans_all!V$80:V$126,MATCH($A110,lifespans_all!$A$80:$A$126,0))*INDEX(SR_mission_minutes!V$2:V$43,MATCH($A110,SR_mission_minutes!$A$2:$A$43)),"-")</f>
        <v>-</v>
      </c>
    </row>
    <row r="111" spans="1:22" x14ac:dyDescent="0.25">
      <c r="A111" s="32" t="s">
        <v>65</v>
      </c>
      <c r="B111" s="32" t="s">
        <v>41</v>
      </c>
      <c r="C111" s="108">
        <f>IFERROR(INDEX(lifespans_all!C$80:C$126,MATCH($A111,lifespans_all!$A$80:$A$126,0))*INDEX(SR_mission_minutes!C$2:C$43,MATCH($A111,SR_mission_minutes!$A$2:$A$43)),"-")</f>
        <v>66700.388888888891</v>
      </c>
      <c r="D111" s="108">
        <f>IFERROR(INDEX(lifespans_all!D$80:D$126,MATCH($A111,lifespans_all!$A$80:$A$126,0))*INDEX(SR_mission_minutes!D$2:D$43,MATCH($A111,SR_mission_minutes!$A$2:$A$43)),"-")</f>
        <v>66700.388888888891</v>
      </c>
      <c r="E111" s="108">
        <f>IFERROR(INDEX(lifespans_all!E$80:E$126,MATCH($A111,lifespans_all!$A$80:$A$126,0))*INDEX(SR_mission_minutes!E$2:E$43,MATCH($A111,SR_mission_minutes!$A$2:$A$43)),"-")</f>
        <v>66700.388888888891</v>
      </c>
      <c r="F111" s="108">
        <f>IFERROR(INDEX(lifespans_all!F$80:F$126,MATCH($A111,lifespans_all!$A$80:$A$126,0))*INDEX(SR_mission_minutes!F$2:F$43,MATCH($A111,SR_mission_minutes!$A$2:$A$43)),"-")</f>
        <v>66700.388888888891</v>
      </c>
      <c r="G111" s="108">
        <f>IFERROR(INDEX(lifespans_all!G$80:G$126,MATCH($A111,lifespans_all!$A$80:$A$126,0))*INDEX(SR_mission_minutes!G$2:G$43,MATCH($A111,SR_mission_minutes!$A$2:$A$43)),"-")</f>
        <v>66700.388888888891</v>
      </c>
      <c r="H111" s="108">
        <f>IFERROR(INDEX(lifespans_all!H$80:H$126,MATCH($A111,lifespans_all!$A$80:$A$126,0))*INDEX(SR_mission_minutes!H$2:H$43,MATCH($A111,SR_mission_minutes!$A$2:$A$43)),"-")</f>
        <v>66700.388888888891</v>
      </c>
      <c r="I111" s="108">
        <f>IFERROR(INDEX(lifespans_all!I$80:I$126,MATCH($A111,lifespans_all!$A$80:$A$126,0))*INDEX(SR_mission_minutes!I$2:I$43,MATCH($A111,SR_mission_minutes!$A$2:$A$43)),"-")</f>
        <v>66700.388888888891</v>
      </c>
      <c r="J111" s="108">
        <f>IFERROR(INDEX(lifespans_all!J$80:J$126,MATCH($A111,lifespans_all!$A$80:$A$126,0))*INDEX(SR_mission_minutes!J$2:J$43,MATCH($A111,SR_mission_minutes!$A$2:$A$43)),"-")</f>
        <v>0</v>
      </c>
      <c r="K111" s="108">
        <f>IFERROR(INDEX(lifespans_all!K$80:K$126,MATCH($A111,lifespans_all!$A$80:$A$126,0))*INDEX(SR_mission_minutes!K$2:K$43,MATCH($A111,SR_mission_minutes!$A$2:$A$43)),"-")</f>
        <v>0</v>
      </c>
      <c r="L111" s="108">
        <f>IFERROR(INDEX(lifespans_all!L$80:L$126,MATCH($A111,lifespans_all!$A$80:$A$126,0))*INDEX(SR_mission_minutes!L$2:L$43,MATCH($A111,SR_mission_minutes!$A$2:$A$43)),"-")</f>
        <v>0</v>
      </c>
      <c r="M111" s="108">
        <f>IFERROR(INDEX(lifespans_all!M$80:M$126,MATCH($A111,lifespans_all!$A$80:$A$126,0))*INDEX(SR_mission_minutes!M$2:M$43,MATCH($A111,SR_mission_minutes!$A$2:$A$43)),"-")</f>
        <v>0</v>
      </c>
      <c r="N111" s="108">
        <f>IFERROR(INDEX(lifespans_all!N$80:N$126,MATCH($A111,lifespans_all!$A$80:$A$126,0))*INDEX(SR_mission_minutes!N$2:N$43,MATCH($A111,SR_mission_minutes!$A$2:$A$43)),"-")</f>
        <v>0</v>
      </c>
      <c r="O111" s="108">
        <f>IFERROR(INDEX(lifespans_all!O$80:O$126,MATCH($A111,lifespans_all!$A$80:$A$126,0))*INDEX(SR_mission_minutes!O$2:O$43,MATCH($A111,SR_mission_minutes!$A$2:$A$43)),"-")</f>
        <v>0</v>
      </c>
      <c r="P111" s="108">
        <f>IFERROR(INDEX(lifespans_all!P$80:P$126,MATCH($A111,lifespans_all!$A$80:$A$126,0))*INDEX(SR_mission_minutes!P$2:P$43,MATCH($A111,SR_mission_minutes!$A$2:$A$43)),"-")</f>
        <v>0</v>
      </c>
      <c r="Q111" s="108">
        <f>IFERROR(INDEX(lifespans_all!Q$80:Q$126,MATCH($A111,lifespans_all!$A$80:$A$126,0))*INDEX(SR_mission_minutes!Q$2:Q$43,MATCH($A111,SR_mission_minutes!$A$2:$A$43)),"-")</f>
        <v>0</v>
      </c>
      <c r="R111" s="108">
        <f>IFERROR(INDEX(lifespans_all!R$80:R$126,MATCH($A111,lifespans_all!$A$80:$A$126,0))*INDEX(SR_mission_minutes!R$2:R$43,MATCH($A111,SR_mission_minutes!$A$2:$A$43)),"-")</f>
        <v>0</v>
      </c>
      <c r="S111" s="108">
        <f>IFERROR(INDEX(lifespans_all!S$80:S$126,MATCH($A111,lifespans_all!$A$80:$A$126,0))*INDEX(SR_mission_minutes!S$2:S$43,MATCH($A111,SR_mission_minutes!$A$2:$A$43)),"-")</f>
        <v>0</v>
      </c>
      <c r="T111" s="108">
        <f>IFERROR(INDEX(lifespans_all!T$80:T$126,MATCH($A111,lifespans_all!$A$80:$A$126,0))*INDEX(SR_mission_minutes!T$2:T$43,MATCH($A111,SR_mission_minutes!$A$2:$A$43)),"-")</f>
        <v>0</v>
      </c>
      <c r="U111" s="108">
        <f>IFERROR(INDEX(lifespans_all!U$80:U$126,MATCH($A111,lifespans_all!$A$80:$A$126,0))*INDEX(SR_mission_minutes!U$2:U$43,MATCH($A111,SR_mission_minutes!$A$2:$A$43)),"-")</f>
        <v>0</v>
      </c>
      <c r="V111" s="108">
        <f>IFERROR(INDEX(lifespans_all!V$80:V$126,MATCH($A111,lifespans_all!$A$80:$A$126,0))*INDEX(SR_mission_minutes!V$2:V$43,MATCH($A111,SR_mission_minutes!$A$2:$A$43)),"-")</f>
        <v>0</v>
      </c>
    </row>
    <row r="112" spans="1:22" x14ac:dyDescent="0.25">
      <c r="A112" s="32" t="s">
        <v>35</v>
      </c>
      <c r="B112" s="32" t="s">
        <v>40</v>
      </c>
      <c r="C112" s="108">
        <f>IFERROR(INDEX(lifespans_all!C$80:C$126,MATCH($A112,lifespans_all!$A$80:$A$126,0))*INDEX(SR_mission_minutes!C$2:C$43,MATCH($A112,SR_mission_minutes!$A$2:$A$43)),"-")</f>
        <v>2364.2857142857142</v>
      </c>
      <c r="D112" s="108">
        <f>IFERROR(INDEX(lifespans_all!D$80:D$126,MATCH($A112,lifespans_all!$A$80:$A$126,0))*INDEX(SR_mission_minutes!D$2:D$43,MATCH($A112,SR_mission_minutes!$A$2:$A$43)),"-")</f>
        <v>2364.2857142857142</v>
      </c>
      <c r="E112" s="108">
        <f>IFERROR(INDEX(lifespans_all!E$80:E$126,MATCH($A112,lifespans_all!$A$80:$A$126,0))*INDEX(SR_mission_minutes!E$2:E$43,MATCH($A112,SR_mission_minutes!$A$2:$A$43)),"-")</f>
        <v>0</v>
      </c>
      <c r="F112" s="108">
        <f>IFERROR(INDEX(lifespans_all!F$80:F$126,MATCH($A112,lifespans_all!$A$80:$A$126,0))*INDEX(SR_mission_minutes!F$2:F$43,MATCH($A112,SR_mission_minutes!$A$2:$A$43)),"-")</f>
        <v>0</v>
      </c>
      <c r="G112" s="108">
        <f>IFERROR(INDEX(lifespans_all!G$80:G$126,MATCH($A112,lifespans_all!$A$80:$A$126,0))*INDEX(SR_mission_minutes!G$2:G$43,MATCH($A112,SR_mission_minutes!$A$2:$A$43)),"-")</f>
        <v>0</v>
      </c>
      <c r="H112" s="108">
        <f>IFERROR(INDEX(lifespans_all!H$80:H$126,MATCH($A112,lifespans_all!$A$80:$A$126,0))*INDEX(SR_mission_minutes!H$2:H$43,MATCH($A112,SR_mission_minutes!$A$2:$A$43)),"-")</f>
        <v>0</v>
      </c>
      <c r="I112" s="108">
        <f>IFERROR(INDEX(lifespans_all!I$80:I$126,MATCH($A112,lifespans_all!$A$80:$A$126,0))*INDEX(SR_mission_minutes!I$2:I$43,MATCH($A112,SR_mission_minutes!$A$2:$A$43)),"-")</f>
        <v>0</v>
      </c>
      <c r="J112" s="108">
        <f>IFERROR(INDEX(lifespans_all!J$80:J$126,MATCH($A112,lifespans_all!$A$80:$A$126,0))*INDEX(SR_mission_minutes!J$2:J$43,MATCH($A112,SR_mission_minutes!$A$2:$A$43)),"-")</f>
        <v>0</v>
      </c>
      <c r="K112" s="108">
        <f>IFERROR(INDEX(lifespans_all!K$80:K$126,MATCH($A112,lifespans_all!$A$80:$A$126,0))*INDEX(SR_mission_minutes!K$2:K$43,MATCH($A112,SR_mission_minutes!$A$2:$A$43)),"-")</f>
        <v>0</v>
      </c>
      <c r="L112" s="108">
        <f>IFERROR(INDEX(lifespans_all!L$80:L$126,MATCH($A112,lifespans_all!$A$80:$A$126,0))*INDEX(SR_mission_minutes!L$2:L$43,MATCH($A112,SR_mission_minutes!$A$2:$A$43)),"-")</f>
        <v>0</v>
      </c>
      <c r="M112" s="108">
        <f>IFERROR(INDEX(lifespans_all!M$80:M$126,MATCH($A112,lifespans_all!$A$80:$A$126,0))*INDEX(SR_mission_minutes!M$2:M$43,MATCH($A112,SR_mission_minutes!$A$2:$A$43)),"-")</f>
        <v>0</v>
      </c>
      <c r="N112" s="108">
        <f>IFERROR(INDEX(lifespans_all!N$80:N$126,MATCH($A112,lifespans_all!$A$80:$A$126,0))*INDEX(SR_mission_minutes!N$2:N$43,MATCH($A112,SR_mission_minutes!$A$2:$A$43)),"-")</f>
        <v>0</v>
      </c>
      <c r="O112" s="108">
        <f>IFERROR(INDEX(lifespans_all!O$80:O$126,MATCH($A112,lifespans_all!$A$80:$A$126,0))*INDEX(SR_mission_minutes!O$2:O$43,MATCH($A112,SR_mission_minutes!$A$2:$A$43)),"-")</f>
        <v>0</v>
      </c>
      <c r="P112" s="108">
        <f>IFERROR(INDEX(lifespans_all!P$80:P$126,MATCH($A112,lifespans_all!$A$80:$A$126,0))*INDEX(SR_mission_minutes!P$2:P$43,MATCH($A112,SR_mission_minutes!$A$2:$A$43)),"-")</f>
        <v>0</v>
      </c>
      <c r="Q112" s="108">
        <f>IFERROR(INDEX(lifespans_all!Q$80:Q$126,MATCH($A112,lifespans_all!$A$80:$A$126,0))*INDEX(SR_mission_minutes!Q$2:Q$43,MATCH($A112,SR_mission_minutes!$A$2:$A$43)),"-")</f>
        <v>0</v>
      </c>
      <c r="R112" s="108">
        <f>IFERROR(INDEX(lifespans_all!R$80:R$126,MATCH($A112,lifespans_all!$A$80:$A$126,0))*INDEX(SR_mission_minutes!R$2:R$43,MATCH($A112,SR_mission_minutes!$A$2:$A$43)),"-")</f>
        <v>0</v>
      </c>
      <c r="S112" s="108">
        <f>IFERROR(INDEX(lifespans_all!S$80:S$126,MATCH($A112,lifespans_all!$A$80:$A$126,0))*INDEX(SR_mission_minutes!S$2:S$43,MATCH($A112,SR_mission_minutes!$A$2:$A$43)),"-")</f>
        <v>0</v>
      </c>
      <c r="T112" s="108">
        <f>IFERROR(INDEX(lifespans_all!T$80:T$126,MATCH($A112,lifespans_all!$A$80:$A$126,0))*INDEX(SR_mission_minutes!T$2:T$43,MATCH($A112,SR_mission_minutes!$A$2:$A$43)),"-")</f>
        <v>0</v>
      </c>
      <c r="U112" s="108">
        <f>IFERROR(INDEX(lifespans_all!U$80:U$126,MATCH($A112,lifespans_all!$A$80:$A$126,0))*INDEX(SR_mission_minutes!U$2:U$43,MATCH($A112,SR_mission_minutes!$A$2:$A$43)),"-")</f>
        <v>0</v>
      </c>
      <c r="V112" s="108">
        <f>IFERROR(INDEX(lifespans_all!V$80:V$126,MATCH($A112,lifespans_all!$A$80:$A$126,0))*INDEX(SR_mission_minutes!V$2:V$43,MATCH($A112,SR_mission_minutes!$A$2:$A$43)),"-")</f>
        <v>0</v>
      </c>
    </row>
    <row r="113" spans="1:22" x14ac:dyDescent="0.25">
      <c r="A113" s="32" t="s">
        <v>36</v>
      </c>
      <c r="B113" s="32" t="s">
        <v>40</v>
      </c>
      <c r="C113" s="108">
        <f>IFERROR(INDEX(lifespans_all!C$80:C$126,MATCH($A113,lifespans_all!$A$80:$A$126,0))*INDEX(SR_mission_minutes!C$2:C$43,MATCH($A113,SR_mission_minutes!$A$2:$A$43)),"-")</f>
        <v>2364.2857142857142</v>
      </c>
      <c r="D113" s="108">
        <f>IFERROR(INDEX(lifespans_all!D$80:D$126,MATCH($A113,lifespans_all!$A$80:$A$126,0))*INDEX(SR_mission_minutes!D$2:D$43,MATCH($A113,SR_mission_minutes!$A$2:$A$43)),"-")</f>
        <v>2364.2857142857142</v>
      </c>
      <c r="E113" s="108">
        <f>IFERROR(INDEX(lifespans_all!E$80:E$126,MATCH($A113,lifespans_all!$A$80:$A$126,0))*INDEX(SR_mission_minutes!E$2:E$43,MATCH($A113,SR_mission_minutes!$A$2:$A$43)),"-")</f>
        <v>0</v>
      </c>
      <c r="F113" s="108">
        <f>IFERROR(INDEX(lifespans_all!F$80:F$126,MATCH($A113,lifespans_all!$A$80:$A$126,0))*INDEX(SR_mission_minutes!F$2:F$43,MATCH($A113,SR_mission_minutes!$A$2:$A$43)),"-")</f>
        <v>0</v>
      </c>
      <c r="G113" s="108">
        <f>IFERROR(INDEX(lifespans_all!G$80:G$126,MATCH($A113,lifespans_all!$A$80:$A$126,0))*INDEX(SR_mission_minutes!G$2:G$43,MATCH($A113,SR_mission_minutes!$A$2:$A$43)),"-")</f>
        <v>0</v>
      </c>
      <c r="H113" s="108">
        <f>IFERROR(INDEX(lifespans_all!H$80:H$126,MATCH($A113,lifespans_all!$A$80:$A$126,0))*INDEX(SR_mission_minutes!H$2:H$43,MATCH($A113,SR_mission_minutes!$A$2:$A$43)),"-")</f>
        <v>0</v>
      </c>
      <c r="I113" s="108">
        <f>IFERROR(INDEX(lifespans_all!I$80:I$126,MATCH($A113,lifespans_all!$A$80:$A$126,0))*INDEX(SR_mission_minutes!I$2:I$43,MATCH($A113,SR_mission_minutes!$A$2:$A$43)),"-")</f>
        <v>0</v>
      </c>
      <c r="J113" s="108">
        <f>IFERROR(INDEX(lifespans_all!J$80:J$126,MATCH($A113,lifespans_all!$A$80:$A$126,0))*INDEX(SR_mission_minutes!J$2:J$43,MATCH($A113,SR_mission_minutes!$A$2:$A$43)),"-")</f>
        <v>0</v>
      </c>
      <c r="K113" s="108">
        <f>IFERROR(INDEX(lifespans_all!K$80:K$126,MATCH($A113,lifespans_all!$A$80:$A$126,0))*INDEX(SR_mission_minutes!K$2:K$43,MATCH($A113,SR_mission_minutes!$A$2:$A$43)),"-")</f>
        <v>0</v>
      </c>
      <c r="L113" s="108">
        <f>IFERROR(INDEX(lifespans_all!L$80:L$126,MATCH($A113,lifespans_all!$A$80:$A$126,0))*INDEX(SR_mission_minutes!L$2:L$43,MATCH($A113,SR_mission_minutes!$A$2:$A$43)),"-")</f>
        <v>0</v>
      </c>
      <c r="M113" s="108">
        <f>IFERROR(INDEX(lifespans_all!M$80:M$126,MATCH($A113,lifespans_all!$A$80:$A$126,0))*INDEX(SR_mission_minutes!M$2:M$43,MATCH($A113,SR_mission_minutes!$A$2:$A$43)),"-")</f>
        <v>0</v>
      </c>
      <c r="N113" s="108">
        <f>IFERROR(INDEX(lifespans_all!N$80:N$126,MATCH($A113,lifespans_all!$A$80:$A$126,0))*INDEX(SR_mission_minutes!N$2:N$43,MATCH($A113,SR_mission_minutes!$A$2:$A$43)),"-")</f>
        <v>0</v>
      </c>
      <c r="O113" s="108">
        <f>IFERROR(INDEX(lifespans_all!O$80:O$126,MATCH($A113,lifespans_all!$A$80:$A$126,0))*INDEX(SR_mission_minutes!O$2:O$43,MATCH($A113,SR_mission_minutes!$A$2:$A$43)),"-")</f>
        <v>0</v>
      </c>
      <c r="P113" s="108">
        <f>IFERROR(INDEX(lifespans_all!P$80:P$126,MATCH($A113,lifespans_all!$A$80:$A$126,0))*INDEX(SR_mission_minutes!P$2:P$43,MATCH($A113,SR_mission_minutes!$A$2:$A$43)),"-")</f>
        <v>0</v>
      </c>
      <c r="Q113" s="108">
        <f>IFERROR(INDEX(lifespans_all!Q$80:Q$126,MATCH($A113,lifespans_all!$A$80:$A$126,0))*INDEX(SR_mission_minutes!Q$2:Q$43,MATCH($A113,SR_mission_minutes!$A$2:$A$43)),"-")</f>
        <v>0</v>
      </c>
      <c r="R113" s="108">
        <f>IFERROR(INDEX(lifespans_all!R$80:R$126,MATCH($A113,lifespans_all!$A$80:$A$126,0))*INDEX(SR_mission_minutes!R$2:R$43,MATCH($A113,SR_mission_minutes!$A$2:$A$43)),"-")</f>
        <v>0</v>
      </c>
      <c r="S113" s="108">
        <f>IFERROR(INDEX(lifespans_all!S$80:S$126,MATCH($A113,lifespans_all!$A$80:$A$126,0))*INDEX(SR_mission_minutes!S$2:S$43,MATCH($A113,SR_mission_minutes!$A$2:$A$43)),"-")</f>
        <v>0</v>
      </c>
      <c r="T113" s="108">
        <f>IFERROR(INDEX(lifespans_all!T$80:T$126,MATCH($A113,lifespans_all!$A$80:$A$126,0))*INDEX(SR_mission_minutes!T$2:T$43,MATCH($A113,SR_mission_minutes!$A$2:$A$43)),"-")</f>
        <v>0</v>
      </c>
      <c r="U113" s="108">
        <f>IFERROR(INDEX(lifespans_all!U$80:U$126,MATCH($A113,lifespans_all!$A$80:$A$126,0))*INDEX(SR_mission_minutes!U$2:U$43,MATCH($A113,SR_mission_minutes!$A$2:$A$43)),"-")</f>
        <v>0</v>
      </c>
      <c r="V113" s="108">
        <f>IFERROR(INDEX(lifespans_all!V$80:V$126,MATCH($A113,lifespans_all!$A$80:$A$126,0))*INDEX(SR_mission_minutes!V$2:V$43,MATCH($A113,SR_mission_minutes!$A$2:$A$43)),"-")</f>
        <v>0</v>
      </c>
    </row>
    <row r="114" spans="1:22" x14ac:dyDescent="0.25">
      <c r="A114" s="32" t="s">
        <v>37</v>
      </c>
      <c r="B114" s="32" t="s">
        <v>40</v>
      </c>
      <c r="C114" s="108">
        <f>IFERROR(INDEX(lifespans_all!C$80:C$126,MATCH($A114,lifespans_all!$A$80:$A$126,0))*INDEX(SR_mission_minutes!C$2:C$43,MATCH($A114,SR_mission_minutes!$A$2:$A$43)),"-")</f>
        <v>2364.2857142857142</v>
      </c>
      <c r="D114" s="108">
        <f>IFERROR(INDEX(lifespans_all!D$80:D$126,MATCH($A114,lifespans_all!$A$80:$A$126,0))*INDEX(SR_mission_minutes!D$2:D$43,MATCH($A114,SR_mission_minutes!$A$2:$A$43)),"-")</f>
        <v>2364.2857142857142</v>
      </c>
      <c r="E114" s="108">
        <f>IFERROR(INDEX(lifespans_all!E$80:E$126,MATCH($A114,lifespans_all!$A$80:$A$126,0))*INDEX(SR_mission_minutes!E$2:E$43,MATCH($A114,SR_mission_minutes!$A$2:$A$43)),"-")</f>
        <v>0</v>
      </c>
      <c r="F114" s="108">
        <f>IFERROR(INDEX(lifespans_all!F$80:F$126,MATCH($A114,lifespans_all!$A$80:$A$126,0))*INDEX(SR_mission_minutes!F$2:F$43,MATCH($A114,SR_mission_minutes!$A$2:$A$43)),"-")</f>
        <v>0</v>
      </c>
      <c r="G114" s="108">
        <f>IFERROR(INDEX(lifespans_all!G$80:G$126,MATCH($A114,lifespans_all!$A$80:$A$126,0))*INDEX(SR_mission_minutes!G$2:G$43,MATCH($A114,SR_mission_minutes!$A$2:$A$43)),"-")</f>
        <v>0</v>
      </c>
      <c r="H114" s="108">
        <f>IFERROR(INDEX(lifespans_all!H$80:H$126,MATCH($A114,lifespans_all!$A$80:$A$126,0))*INDEX(SR_mission_minutes!H$2:H$43,MATCH($A114,SR_mission_minutes!$A$2:$A$43)),"-")</f>
        <v>0</v>
      </c>
      <c r="I114" s="108">
        <f>IFERROR(INDEX(lifespans_all!I$80:I$126,MATCH($A114,lifespans_all!$A$80:$A$126,0))*INDEX(SR_mission_minutes!I$2:I$43,MATCH($A114,SR_mission_minutes!$A$2:$A$43)),"-")</f>
        <v>0</v>
      </c>
      <c r="J114" s="108">
        <f>IFERROR(INDEX(lifespans_all!J$80:J$126,MATCH($A114,lifespans_all!$A$80:$A$126,0))*INDEX(SR_mission_minutes!J$2:J$43,MATCH($A114,SR_mission_minutes!$A$2:$A$43)),"-")</f>
        <v>0</v>
      </c>
      <c r="K114" s="108">
        <f>IFERROR(INDEX(lifespans_all!K$80:K$126,MATCH($A114,lifespans_all!$A$80:$A$126,0))*INDEX(SR_mission_minutes!K$2:K$43,MATCH($A114,SR_mission_minutes!$A$2:$A$43)),"-")</f>
        <v>0</v>
      </c>
      <c r="L114" s="108">
        <f>IFERROR(INDEX(lifespans_all!L$80:L$126,MATCH($A114,lifespans_all!$A$80:$A$126,0))*INDEX(SR_mission_minutes!L$2:L$43,MATCH($A114,SR_mission_minutes!$A$2:$A$43)),"-")</f>
        <v>0</v>
      </c>
      <c r="M114" s="108">
        <f>IFERROR(INDEX(lifespans_all!M$80:M$126,MATCH($A114,lifespans_all!$A$80:$A$126,0))*INDEX(SR_mission_minutes!M$2:M$43,MATCH($A114,SR_mission_minutes!$A$2:$A$43)),"-")</f>
        <v>0</v>
      </c>
      <c r="N114" s="108">
        <f>IFERROR(INDEX(lifespans_all!N$80:N$126,MATCH($A114,lifespans_all!$A$80:$A$126,0))*INDEX(SR_mission_minutes!N$2:N$43,MATCH($A114,SR_mission_minutes!$A$2:$A$43)),"-")</f>
        <v>0</v>
      </c>
      <c r="O114" s="108">
        <f>IFERROR(INDEX(lifespans_all!O$80:O$126,MATCH($A114,lifespans_all!$A$80:$A$126,0))*INDEX(SR_mission_minutes!O$2:O$43,MATCH($A114,SR_mission_minutes!$A$2:$A$43)),"-")</f>
        <v>0</v>
      </c>
      <c r="P114" s="108">
        <f>IFERROR(INDEX(lifespans_all!P$80:P$126,MATCH($A114,lifespans_all!$A$80:$A$126,0))*INDEX(SR_mission_minutes!P$2:P$43,MATCH($A114,SR_mission_minutes!$A$2:$A$43)),"-")</f>
        <v>0</v>
      </c>
      <c r="Q114" s="108">
        <f>IFERROR(INDEX(lifespans_all!Q$80:Q$126,MATCH($A114,lifespans_all!$A$80:$A$126,0))*INDEX(SR_mission_minutes!Q$2:Q$43,MATCH($A114,SR_mission_minutes!$A$2:$A$43)),"-")</f>
        <v>0</v>
      </c>
      <c r="R114" s="108">
        <f>IFERROR(INDEX(lifespans_all!R$80:R$126,MATCH($A114,lifespans_all!$A$80:$A$126,0))*INDEX(SR_mission_minutes!R$2:R$43,MATCH($A114,SR_mission_minutes!$A$2:$A$43)),"-")</f>
        <v>0</v>
      </c>
      <c r="S114" s="108">
        <f>IFERROR(INDEX(lifespans_all!S$80:S$126,MATCH($A114,lifespans_all!$A$80:$A$126,0))*INDEX(SR_mission_minutes!S$2:S$43,MATCH($A114,SR_mission_minutes!$A$2:$A$43)),"-")</f>
        <v>0</v>
      </c>
      <c r="T114" s="108">
        <f>IFERROR(INDEX(lifespans_all!T$80:T$126,MATCH($A114,lifespans_all!$A$80:$A$126,0))*INDEX(SR_mission_minutes!T$2:T$43,MATCH($A114,SR_mission_minutes!$A$2:$A$43)),"-")</f>
        <v>0</v>
      </c>
      <c r="U114" s="108">
        <f>IFERROR(INDEX(lifespans_all!U$80:U$126,MATCH($A114,lifespans_all!$A$80:$A$126,0))*INDEX(SR_mission_minutes!U$2:U$43,MATCH($A114,SR_mission_minutes!$A$2:$A$43)),"-")</f>
        <v>0</v>
      </c>
      <c r="V114" s="108">
        <f>IFERROR(INDEX(lifespans_all!V$80:V$126,MATCH($A114,lifespans_all!$A$80:$A$126,0))*INDEX(SR_mission_minutes!V$2:V$43,MATCH($A114,SR_mission_minutes!$A$2:$A$43)),"-")</f>
        <v>0</v>
      </c>
    </row>
    <row r="115" spans="1:22" x14ac:dyDescent="0.25">
      <c r="A115" s="32" t="s">
        <v>38</v>
      </c>
      <c r="B115" s="32" t="s">
        <v>41</v>
      </c>
      <c r="C115" s="108">
        <f>IFERROR(INDEX(lifespans_all!C$80:C$126,MATCH($A115,lifespans_all!$A$80:$A$126,0))*INDEX(SR_mission_minutes!C$2:C$43,MATCH($A115,SR_mission_minutes!$A$2:$A$43)),"-")</f>
        <v>66700.388888888891</v>
      </c>
      <c r="D115" s="108">
        <f>IFERROR(INDEX(lifespans_all!D$80:D$126,MATCH($A115,lifespans_all!$A$80:$A$126,0))*INDEX(SR_mission_minutes!D$2:D$43,MATCH($A115,SR_mission_minutes!$A$2:$A$43)),"-")</f>
        <v>0</v>
      </c>
      <c r="E115" s="108">
        <f>IFERROR(INDEX(lifespans_all!E$80:E$126,MATCH($A115,lifespans_all!$A$80:$A$126,0))*INDEX(SR_mission_minutes!E$2:E$43,MATCH($A115,SR_mission_minutes!$A$2:$A$43)),"-")</f>
        <v>0</v>
      </c>
      <c r="F115" s="108">
        <f>IFERROR(INDEX(lifespans_all!F$80:F$126,MATCH($A115,lifespans_all!$A$80:$A$126,0))*INDEX(SR_mission_minutes!F$2:F$43,MATCH($A115,SR_mission_minutes!$A$2:$A$43)),"-")</f>
        <v>0</v>
      </c>
      <c r="G115" s="108">
        <f>IFERROR(INDEX(lifespans_all!G$80:G$126,MATCH($A115,lifespans_all!$A$80:$A$126,0))*INDEX(SR_mission_minutes!G$2:G$43,MATCH($A115,SR_mission_minutes!$A$2:$A$43)),"-")</f>
        <v>0</v>
      </c>
      <c r="H115" s="108">
        <f>IFERROR(INDEX(lifespans_all!H$80:H$126,MATCH($A115,lifespans_all!$A$80:$A$126,0))*INDEX(SR_mission_minutes!H$2:H$43,MATCH($A115,SR_mission_minutes!$A$2:$A$43)),"-")</f>
        <v>0</v>
      </c>
      <c r="I115" s="108">
        <f>IFERROR(INDEX(lifespans_all!I$80:I$126,MATCH($A115,lifespans_all!$A$80:$A$126,0))*INDEX(SR_mission_minutes!I$2:I$43,MATCH($A115,SR_mission_minutes!$A$2:$A$43)),"-")</f>
        <v>0</v>
      </c>
      <c r="J115" s="108">
        <f>IFERROR(INDEX(lifespans_all!J$80:J$126,MATCH($A115,lifespans_all!$A$80:$A$126,0))*INDEX(SR_mission_minutes!J$2:J$43,MATCH($A115,SR_mission_minutes!$A$2:$A$43)),"-")</f>
        <v>0</v>
      </c>
      <c r="K115" s="108">
        <f>IFERROR(INDEX(lifespans_all!K$80:K$126,MATCH($A115,lifespans_all!$A$80:$A$126,0))*INDEX(SR_mission_minutes!K$2:K$43,MATCH($A115,SR_mission_minutes!$A$2:$A$43)),"-")</f>
        <v>0</v>
      </c>
      <c r="L115" s="108">
        <f>IFERROR(INDEX(lifespans_all!L$80:L$126,MATCH($A115,lifespans_all!$A$80:$A$126,0))*INDEX(SR_mission_minutes!L$2:L$43,MATCH($A115,SR_mission_minutes!$A$2:$A$43)),"-")</f>
        <v>0</v>
      </c>
      <c r="M115" s="108">
        <f>IFERROR(INDEX(lifespans_all!M$80:M$126,MATCH($A115,lifespans_all!$A$80:$A$126,0))*INDEX(SR_mission_minutes!M$2:M$43,MATCH($A115,SR_mission_minutes!$A$2:$A$43)),"-")</f>
        <v>0</v>
      </c>
      <c r="N115" s="108">
        <f>IFERROR(INDEX(lifespans_all!N$80:N$126,MATCH($A115,lifespans_all!$A$80:$A$126,0))*INDEX(SR_mission_minutes!N$2:N$43,MATCH($A115,SR_mission_minutes!$A$2:$A$43)),"-")</f>
        <v>0</v>
      </c>
      <c r="O115" s="108">
        <f>IFERROR(INDEX(lifespans_all!O$80:O$126,MATCH($A115,lifespans_all!$A$80:$A$126,0))*INDEX(SR_mission_minutes!O$2:O$43,MATCH($A115,SR_mission_minutes!$A$2:$A$43)),"-")</f>
        <v>0</v>
      </c>
      <c r="P115" s="108">
        <f>IFERROR(INDEX(lifespans_all!P$80:P$126,MATCH($A115,lifespans_all!$A$80:$A$126,0))*INDEX(SR_mission_minutes!P$2:P$43,MATCH($A115,SR_mission_minutes!$A$2:$A$43)),"-")</f>
        <v>0</v>
      </c>
      <c r="Q115" s="108">
        <f>IFERROR(INDEX(lifespans_all!Q$80:Q$126,MATCH($A115,lifespans_all!$A$80:$A$126,0))*INDEX(SR_mission_minutes!Q$2:Q$43,MATCH($A115,SR_mission_minutes!$A$2:$A$43)),"-")</f>
        <v>0</v>
      </c>
      <c r="R115" s="108">
        <f>IFERROR(INDEX(lifespans_all!R$80:R$126,MATCH($A115,lifespans_all!$A$80:$A$126,0))*INDEX(SR_mission_minutes!R$2:R$43,MATCH($A115,SR_mission_minutes!$A$2:$A$43)),"-")</f>
        <v>0</v>
      </c>
      <c r="S115" s="108">
        <f>IFERROR(INDEX(lifespans_all!S$80:S$126,MATCH($A115,lifespans_all!$A$80:$A$126,0))*INDEX(SR_mission_minutes!S$2:S$43,MATCH($A115,SR_mission_minutes!$A$2:$A$43)),"-")</f>
        <v>0</v>
      </c>
      <c r="T115" s="108">
        <f>IFERROR(INDEX(lifespans_all!T$80:T$126,MATCH($A115,lifespans_all!$A$80:$A$126,0))*INDEX(SR_mission_minutes!T$2:T$43,MATCH($A115,SR_mission_minutes!$A$2:$A$43)),"-")</f>
        <v>0</v>
      </c>
      <c r="U115" s="108">
        <f>IFERROR(INDEX(lifespans_all!U$80:U$126,MATCH($A115,lifespans_all!$A$80:$A$126,0))*INDEX(SR_mission_minutes!U$2:U$43,MATCH($A115,SR_mission_minutes!$A$2:$A$43)),"-")</f>
        <v>0</v>
      </c>
      <c r="V115" s="108">
        <f>IFERROR(INDEX(lifespans_all!V$80:V$126,MATCH($A115,lifespans_all!$A$80:$A$126,0))*INDEX(SR_mission_minutes!V$2:V$43,MATCH($A115,SR_mission_minutes!$A$2:$A$43)),"-")</f>
        <v>0</v>
      </c>
    </row>
    <row r="116" spans="1:22" x14ac:dyDescent="0.25">
      <c r="A116" s="32" t="s">
        <v>39</v>
      </c>
      <c r="B116" s="32" t="s">
        <v>41</v>
      </c>
      <c r="C116" s="108">
        <f>IFERROR(INDEX(lifespans_all!C$80:C$126,MATCH($A116,lifespans_all!$A$80:$A$126,0))*INDEX(SR_mission_minutes!C$2:C$43,MATCH($A116,SR_mission_minutes!$A$2:$A$43)),"-")</f>
        <v>33739.333333333336</v>
      </c>
      <c r="D116" s="108">
        <f>IFERROR(INDEX(lifespans_all!D$80:D$126,MATCH($A116,lifespans_all!$A$80:$A$126,0))*INDEX(SR_mission_minutes!D$2:D$43,MATCH($A116,SR_mission_minutes!$A$2:$A$43)),"-")</f>
        <v>33739.333333333336</v>
      </c>
      <c r="E116" s="108">
        <f>IFERROR(INDEX(lifespans_all!E$80:E$126,MATCH($A116,lifespans_all!$A$80:$A$126,0))*INDEX(SR_mission_minutes!E$2:E$43,MATCH($A116,SR_mission_minutes!$A$2:$A$43)),"-")</f>
        <v>33739.333333333336</v>
      </c>
      <c r="F116" s="108">
        <f>IFERROR(INDEX(lifespans_all!F$80:F$126,MATCH($A116,lifespans_all!$A$80:$A$126,0))*INDEX(SR_mission_minutes!F$2:F$43,MATCH($A116,SR_mission_minutes!$A$2:$A$43)),"-")</f>
        <v>33739.333333333336</v>
      </c>
      <c r="G116" s="108">
        <f>IFERROR(INDEX(lifespans_all!G$80:G$126,MATCH($A116,lifespans_all!$A$80:$A$126,0))*INDEX(SR_mission_minutes!G$2:G$43,MATCH($A116,SR_mission_minutes!$A$2:$A$43)),"-")</f>
        <v>0</v>
      </c>
      <c r="H116" s="108">
        <f>IFERROR(INDEX(lifespans_all!H$80:H$126,MATCH($A116,lifespans_all!$A$80:$A$126,0))*INDEX(SR_mission_minutes!H$2:H$43,MATCH($A116,SR_mission_minutes!$A$2:$A$43)),"-")</f>
        <v>0</v>
      </c>
      <c r="I116" s="108">
        <f>IFERROR(INDEX(lifespans_all!I$80:I$126,MATCH($A116,lifespans_all!$A$80:$A$126,0))*INDEX(SR_mission_minutes!I$2:I$43,MATCH($A116,SR_mission_minutes!$A$2:$A$43)),"-")</f>
        <v>0</v>
      </c>
      <c r="J116" s="108">
        <f>IFERROR(INDEX(lifespans_all!J$80:J$126,MATCH($A116,lifespans_all!$A$80:$A$126,0))*INDEX(SR_mission_minutes!J$2:J$43,MATCH($A116,SR_mission_minutes!$A$2:$A$43)),"-")</f>
        <v>0</v>
      </c>
      <c r="K116" s="108">
        <f>IFERROR(INDEX(lifespans_all!K$80:K$126,MATCH($A116,lifespans_all!$A$80:$A$126,0))*INDEX(SR_mission_minutes!K$2:K$43,MATCH($A116,SR_mission_minutes!$A$2:$A$43)),"-")</f>
        <v>0</v>
      </c>
      <c r="L116" s="108">
        <f>IFERROR(INDEX(lifespans_all!L$80:L$126,MATCH($A116,lifespans_all!$A$80:$A$126,0))*INDEX(SR_mission_minutes!L$2:L$43,MATCH($A116,SR_mission_minutes!$A$2:$A$43)),"-")</f>
        <v>0</v>
      </c>
      <c r="M116" s="108">
        <f>IFERROR(INDEX(lifespans_all!M$80:M$126,MATCH($A116,lifespans_all!$A$80:$A$126,0))*INDEX(SR_mission_minutes!M$2:M$43,MATCH($A116,SR_mission_minutes!$A$2:$A$43)),"-")</f>
        <v>0</v>
      </c>
      <c r="N116" s="108">
        <f>IFERROR(INDEX(lifespans_all!N$80:N$126,MATCH($A116,lifespans_all!$A$80:$A$126,0))*INDEX(SR_mission_minutes!N$2:N$43,MATCH($A116,SR_mission_minutes!$A$2:$A$43)),"-")</f>
        <v>0</v>
      </c>
      <c r="O116" s="108">
        <f>IFERROR(INDEX(lifespans_all!O$80:O$126,MATCH($A116,lifespans_all!$A$80:$A$126,0))*INDEX(SR_mission_minutes!O$2:O$43,MATCH($A116,SR_mission_minutes!$A$2:$A$43)),"-")</f>
        <v>0</v>
      </c>
      <c r="P116" s="108">
        <f>IFERROR(INDEX(lifespans_all!P$80:P$126,MATCH($A116,lifespans_all!$A$80:$A$126,0))*INDEX(SR_mission_minutes!P$2:P$43,MATCH($A116,SR_mission_minutes!$A$2:$A$43)),"-")</f>
        <v>0</v>
      </c>
      <c r="Q116" s="108">
        <f>IFERROR(INDEX(lifespans_all!Q$80:Q$126,MATCH($A116,lifespans_all!$A$80:$A$126,0))*INDEX(SR_mission_minutes!Q$2:Q$43,MATCH($A116,SR_mission_minutes!$A$2:$A$43)),"-")</f>
        <v>0</v>
      </c>
      <c r="R116" s="108">
        <f>IFERROR(INDEX(lifespans_all!R$80:R$126,MATCH($A116,lifespans_all!$A$80:$A$126,0))*INDEX(SR_mission_minutes!R$2:R$43,MATCH($A116,SR_mission_minutes!$A$2:$A$43)),"-")</f>
        <v>0</v>
      </c>
      <c r="S116" s="108">
        <f>IFERROR(INDEX(lifespans_all!S$80:S$126,MATCH($A116,lifespans_all!$A$80:$A$126,0))*INDEX(SR_mission_minutes!S$2:S$43,MATCH($A116,SR_mission_minutes!$A$2:$A$43)),"-")</f>
        <v>0</v>
      </c>
      <c r="T116" s="108">
        <f>IFERROR(INDEX(lifespans_all!T$80:T$126,MATCH($A116,lifespans_all!$A$80:$A$126,0))*INDEX(SR_mission_minutes!T$2:T$43,MATCH($A116,SR_mission_minutes!$A$2:$A$43)),"-")</f>
        <v>0</v>
      </c>
      <c r="U116" s="108">
        <f>IFERROR(INDEX(lifespans_all!U$80:U$126,MATCH($A116,lifespans_all!$A$80:$A$126,0))*INDEX(SR_mission_minutes!U$2:U$43,MATCH($A116,SR_mission_minutes!$A$2:$A$43)),"-")</f>
        <v>0</v>
      </c>
      <c r="V116" s="108">
        <f>IFERROR(INDEX(lifespans_all!V$80:V$126,MATCH($A116,lifespans_all!$A$80:$A$126,0))*INDEX(SR_mission_minutes!V$2:V$43,MATCH($A116,SR_mission_minutes!$A$2:$A$43)),"-")</f>
        <v>0</v>
      </c>
    </row>
    <row r="117" spans="1:22" x14ac:dyDescent="0.25">
      <c r="A117" s="24" t="s">
        <v>88</v>
      </c>
      <c r="B117" s="23" t="s">
        <v>43</v>
      </c>
      <c r="C117" s="108">
        <f>IFERROR((INDEX(lifespans_all!C$127:C$134,MATCH($B117,lifespans_all!$B$127:$B$134,0))*SR_mission_minutes!C44)*POWER(1+(Historical_Cost!$C$88/100),C$1-2021),"-")</f>
        <v>-57439.5</v>
      </c>
      <c r="D117" s="108">
        <f>IFERROR((INDEX(lifespans_all!D$127:D$134,MATCH($B117,lifespans_all!$B$127:$B$134,0))*SR_mission_minutes!D44)*POWER(1+(Historical_Cost!$C$88/100),D$1-2021),"-")</f>
        <v>-117176.58</v>
      </c>
      <c r="E117" s="108">
        <f>IFERROR((INDEX(lifespans_all!E$127:E$134,MATCH($B117,lifespans_all!$B$127:$B$134,0))*SR_mission_minutes!E44)*POWER(1+(Historical_Cost!$C$88/100),E$1-2021),"-")</f>
        <v>-179280.16740000001</v>
      </c>
      <c r="F117" s="108">
        <f>IFERROR((INDEX(lifespans_all!F$127:F$134,MATCH($B117,lifespans_all!$B$127:$B$134,0))*SR_mission_minutes!F44)*POWER(1+(Historical_Cost!$C$88/100),F$1-2021),"-")</f>
        <v>-243821.02766399999</v>
      </c>
      <c r="G117" s="108">
        <f>IFERROR((INDEX(lifespans_all!G$127:G$134,MATCH($B117,lifespans_all!$B$127:$B$134,0))*SR_mission_minutes!G44)*POWER(1+(Historical_Cost!$C$88/100),G$1-2021),"-")</f>
        <v>-310871.81027159997</v>
      </c>
      <c r="H117" s="108">
        <f>IFERROR((INDEX(lifespans_all!H$127:H$134,MATCH($B117,lifespans_all!$B$127:$B$134,0))*SR_mission_minutes!H44)*POWER(1+(Historical_Cost!$C$88/100),H$1-2021),"-")</f>
        <v>-380507.09577243839</v>
      </c>
      <c r="I117" s="108">
        <f>IFERROR((INDEX(lifespans_all!I$127:I$134,MATCH($B117,lifespans_all!$B$127:$B$134,0))*SR_mission_minutes!I44)*POWER(1+(Historical_Cost!$C$88/100),I$1-2021),"-")</f>
        <v>-452803.4439692017</v>
      </c>
      <c r="J117" s="108">
        <f>IFERROR((INDEX(lifespans_all!J$127:J$134,MATCH($B117,lifespans_all!$B$127:$B$134,0))*SR_mission_minutes!J44)*POWER(1+(Historical_Cost!$C$88/100),J$1-2021),"-")</f>
        <v>-527839.44325552648</v>
      </c>
      <c r="K117" s="108">
        <f>IFERROR((INDEX(lifespans_all!K$127:K$134,MATCH($B117,lifespans_all!$B$127:$B$134,0))*SR_mission_minutes!K44)*POWER(1+(Historical_Cost!$C$88/100),K$1-2021),"-")</f>
        <v>-605695.76113571669</v>
      </c>
      <c r="L117" s="108">
        <f>IFERROR((INDEX(lifespans_all!L$127:L$134,MATCH($B117,lifespans_all!$B$127:$B$134,0))*SR_mission_minutes!L44)*POWER(1+(Historical_Cost!$C$88/100),L$1-2021),"-")</f>
        <v>-686455.19595381222</v>
      </c>
      <c r="M117" s="108">
        <f>IFERROR((INDEX(lifespans_all!M$127:M$134,MATCH($B117,lifespans_all!$B$127:$B$134,0))*SR_mission_minutes!M44)*POWER(1+(Historical_Cost!$C$88/100),M$1-2021),"-")</f>
        <v>-420110.57992373308</v>
      </c>
      <c r="N117" s="108">
        <f>IFERROR((INDEX(lifespans_all!N$127:N$134,MATCH($B117,lifespans_all!$B$127:$B$134,0))*SR_mission_minutes!N44)*POWER(1+(Historical_Cost!$C$88/100),N$1-2021),"-")</f>
        <v>-428512.79152220767</v>
      </c>
      <c r="O117" s="108">
        <f>IFERROR((INDEX(lifespans_all!O$127:O$134,MATCH($B117,lifespans_all!$B$127:$B$134,0))*SR_mission_minutes!O44)*POWER(1+(Historical_Cost!$C$88/100),O$1-2021),"-")</f>
        <v>-437083.04735265189</v>
      </c>
      <c r="P117" s="108">
        <f>IFERROR((INDEX(lifespans_all!P$127:P$134,MATCH($B117,lifespans_all!$B$127:$B$134,0))*SR_mission_minutes!P44)*POWER(1+(Historical_Cost!$C$88/100),P$1-2021),"-")</f>
        <v>-445824.70829970494</v>
      </c>
      <c r="Q117" s="108">
        <f>IFERROR((INDEX(lifespans_all!Q$127:Q$134,MATCH($B117,lifespans_all!$B$127:$B$134,0))*SR_mission_minutes!Q44)*POWER(1+(Historical_Cost!$C$88/100),Q$1-2021),"-")</f>
        <v>-454741.20246569905</v>
      </c>
      <c r="R117" s="108">
        <f>IFERROR((INDEX(lifespans_all!R$127:R$134,MATCH($B117,lifespans_all!$B$127:$B$134,0))*SR_mission_minutes!R44)*POWER(1+(Historical_Cost!$C$88/100),R$1-2021),"-")</f>
        <v>-463836.0265150129</v>
      </c>
      <c r="S117" s="108">
        <f>IFERROR((INDEX(lifespans_all!S$127:S$134,MATCH($B117,lifespans_all!$B$127:$B$134,0))*SR_mission_minutes!S44)*POWER(1+(Historical_Cost!$C$88/100),S$1-2021),"-")</f>
        <v>-473112.74704531324</v>
      </c>
      <c r="T117" s="108">
        <f>IFERROR((INDEX(lifespans_all!T$127:T$134,MATCH($B117,lifespans_all!$B$127:$B$134,0))*SR_mission_minutes!T44)*POWER(1+(Historical_Cost!$C$88/100),T$1-2021),"-")</f>
        <v>-482575.00198621955</v>
      </c>
      <c r="U117" s="108">
        <f>IFERROR((INDEX(lifespans_all!U$127:U$134,MATCH($B117,lifespans_all!$B$127:$B$134,0))*SR_mission_minutes!U44)*POWER(1+(Historical_Cost!$C$88/100),U$1-2021),"-")</f>
        <v>-492226.50202594389</v>
      </c>
      <c r="V117" s="108">
        <f>IFERROR((INDEX(lifespans_all!V$127:V$134,MATCH($B117,lifespans_all!$B$127:$B$134,0))*SR_mission_minutes!V44)*POWER(1+(Historical_Cost!$C$88/100),V$1-2021),"-")</f>
        <v>-502071.03206646274</v>
      </c>
    </row>
    <row r="118" spans="1:22" x14ac:dyDescent="0.25">
      <c r="A118" s="24" t="s">
        <v>88</v>
      </c>
      <c r="B118" s="23" t="s">
        <v>41</v>
      </c>
      <c r="C118" s="108">
        <f>IFERROR((INDEX(lifespans_all!C$127:C$134,MATCH($B118,lifespans_all!$B$127:$B$134,0))*SR_mission_minutes!C45)*POWER(1+(Historical_Cost!$C$88/100),C$1-2021),"-")</f>
        <v>-6670.0388888888892</v>
      </c>
      <c r="D118" s="108">
        <f>IFERROR((INDEX(lifespans_all!D$127:D$134,MATCH($B118,lifespans_all!$B$127:$B$134,0))*SR_mission_minutes!D45)*POWER(1+(Historical_Cost!$C$88/100),D$1-2021),"-")</f>
        <v>122461.91400000002</v>
      </c>
      <c r="E118" s="108">
        <f>IFERROR((INDEX(lifespans_all!E$127:E$134,MATCH($B118,lifespans_all!$B$127:$B$134,0))*SR_mission_minutes!E45)*POWER(1+(Historical_Cost!$C$88/100),E$1-2021),"-")</f>
        <v>187366.72842000003</v>
      </c>
      <c r="F118" s="108">
        <f>IFERROR((INDEX(lifespans_all!F$127:F$134,MATCH($B118,lifespans_all!$B$127:$B$134,0))*SR_mission_minutes!F45)*POWER(1+(Historical_Cost!$C$88/100),F$1-2021),"-")</f>
        <v>325601.7369432</v>
      </c>
      <c r="G118" s="108">
        <f>IFERROR((INDEX(lifespans_all!G$127:G$134,MATCH($B118,lifespans_all!$B$127:$B$134,0))*SR_mission_minutes!G45)*POWER(1+(Historical_Cost!$C$88/100),G$1-2021),"-")</f>
        <v>541489.84513380006</v>
      </c>
      <c r="H118" s="108">
        <f>IFERROR((INDEX(lifespans_all!H$127:H$134,MATCH($B118,lifespans_all!$B$127:$B$134,0))*SR_mission_minutes!H45)*POWER(1+(Historical_Cost!$C$88/100),H$1-2021),"-")</f>
        <v>765883.23695724679</v>
      </c>
      <c r="I118" s="108">
        <f>IFERROR((INDEX(lifespans_all!I$127:I$134,MATCH($B118,lifespans_all!$B$127:$B$134,0))*SR_mission_minutes!I45)*POWER(1+(Historical_Cost!$C$88/100),I$1-2021),"-")</f>
        <v>999035.76851557801</v>
      </c>
      <c r="J118" s="108">
        <f>IFERROR((INDEX(lifespans_all!J$127:J$134,MATCH($B118,lifespans_all!$B$127:$B$134,0))*SR_mission_minutes!J45)*POWER(1+(Historical_Cost!$C$88/100),J$1-2021),"-")</f>
        <v>1164590.267298159</v>
      </c>
      <c r="K118" s="108">
        <f>IFERROR((INDEX(lifespans_all!K$127:K$134,MATCH($B118,lifespans_all!$B$127:$B$134,0))*SR_mission_minutes!K45)*POWER(1+(Historical_Cost!$C$88/100),K$1-2021),"-")</f>
        <v>1180067.0590083059</v>
      </c>
      <c r="L118" s="108">
        <f>IFERROR((INDEX(lifespans_all!L$127:L$134,MATCH($B118,lifespans_all!$B$127:$B$134,0))*SR_mission_minutes!L45)*POWER(1+(Historical_Cost!$C$88/100),L$1-2021),"-")</f>
        <v>1195697.0862799389</v>
      </c>
      <c r="M118" s="108">
        <f>IFERROR((INDEX(lifespans_all!M$127:M$134,MATCH($B118,lifespans_all!$B$127:$B$134,0))*SR_mission_minutes!M45)*POWER(1+(Historical_Cost!$C$88/100),M$1-2021),"-")</f>
        <v>1219611.0280055378</v>
      </c>
      <c r="N118" s="108">
        <f>IFERROR((INDEX(lifespans_all!N$127:N$134,MATCH($B118,lifespans_all!$B$127:$B$134,0))*SR_mission_minutes!N45)*POWER(1+(Historical_Cost!$C$88/100),N$1-2021),"-")</f>
        <v>1244003.2485656484</v>
      </c>
      <c r="O118" s="108">
        <f>IFERROR((INDEX(lifespans_all!O$127:O$134,MATCH($B118,lifespans_all!$B$127:$B$134,0))*SR_mission_minutes!O45)*POWER(1+(Historical_Cost!$C$88/100),O$1-2021),"-")</f>
        <v>1268883.3135369616</v>
      </c>
      <c r="P118" s="108">
        <f>IFERROR((INDEX(lifespans_all!P$127:P$134,MATCH($B118,lifespans_all!$B$127:$B$134,0))*SR_mission_minutes!P45)*POWER(1+(Historical_Cost!$C$88/100),P$1-2021),"-")</f>
        <v>1294260.9798077007</v>
      </c>
      <c r="Q118" s="108">
        <f>IFERROR((INDEX(lifespans_all!Q$127:Q$134,MATCH($B118,lifespans_all!$B$127:$B$134,0))*SR_mission_minutes!Q45)*POWER(1+(Historical_Cost!$C$88/100),Q$1-2021),"-")</f>
        <v>1320146.1994038548</v>
      </c>
      <c r="R118" s="108">
        <f>IFERROR((INDEX(lifespans_all!R$127:R$134,MATCH($B118,lifespans_all!$B$127:$B$134,0))*SR_mission_minutes!R45)*POWER(1+(Historical_Cost!$C$88/100),R$1-2021),"-")</f>
        <v>1346549.1233919316</v>
      </c>
      <c r="S118" s="108">
        <f>IFERROR((INDEX(lifespans_all!S$127:S$134,MATCH($B118,lifespans_all!$B$127:$B$134,0))*SR_mission_minutes!S45)*POWER(1+(Historical_Cost!$C$88/100),S$1-2021),"-")</f>
        <v>1373480.1058597704</v>
      </c>
      <c r="T118" s="108">
        <f>IFERROR((INDEX(lifespans_all!T$127:T$134,MATCH($B118,lifespans_all!$B$127:$B$134,0))*SR_mission_minutes!T45)*POWER(1+(Historical_Cost!$C$88/100),T$1-2021),"-")</f>
        <v>1400949.7079769659</v>
      </c>
      <c r="U118" s="108">
        <f>IFERROR((INDEX(lifespans_all!U$127:U$134,MATCH($B118,lifespans_all!$B$127:$B$134,0))*SR_mission_minutes!U45)*POWER(1+(Historical_Cost!$C$88/100),U$1-2021),"-")</f>
        <v>1428968.7021365052</v>
      </c>
      <c r="V118" s="108">
        <f>IFERROR((INDEX(lifespans_all!V$127:V$134,MATCH($B118,lifespans_all!$B$127:$B$134,0))*SR_mission_minutes!V45)*POWER(1+(Historical_Cost!$C$88/100),V$1-2021),"-")</f>
        <v>1457548.0761792352</v>
      </c>
    </row>
    <row r="119" spans="1:22" x14ac:dyDescent="0.25">
      <c r="A119" s="24" t="s">
        <v>88</v>
      </c>
      <c r="B119" s="23" t="s">
        <v>40</v>
      </c>
      <c r="C119" s="108">
        <f>IFERROR((INDEX(lifespans_all!C$127:C$134,MATCH($B119,lifespans_all!$B$127:$B$134,0))*SR_mission_minutes!C46)*POWER(1+(Historical_Cost!$C$88/100),C$1-2021),"-")</f>
        <v>-236.42857142857144</v>
      </c>
      <c r="D119" s="108">
        <f>IFERROR((INDEX(lifespans_all!D$127:D$134,MATCH($B119,lifespans_all!$B$127:$B$134,0))*SR_mission_minutes!D46)*POWER(1+(Historical_Cost!$C$88/100),D$1-2021),"-")</f>
        <v>-482.31428571428575</v>
      </c>
      <c r="E119" s="108">
        <f>IFERROR((INDEX(lifespans_all!E$127:E$134,MATCH($B119,lifespans_all!$B$127:$B$134,0))*SR_mission_minutes!E46)*POWER(1+(Historical_Cost!$C$88/100),E$1-2021),"-")</f>
        <v>9101.2705714285712</v>
      </c>
      <c r="F119" s="108">
        <f>IFERROR((INDEX(lifespans_all!F$127:F$134,MATCH($B119,lifespans_all!$B$127:$B$134,0))*SR_mission_minutes!F46)*POWER(1+(Historical_Cost!$C$88/100),F$1-2021),"-")</f>
        <v>9032.3960914285708</v>
      </c>
      <c r="G119" s="108">
        <f>IFERROR((INDEX(lifespans_all!G$127:G$134,MATCH($B119,lifespans_all!$B$127:$B$134,0))*SR_mission_minutes!G46)*POWER(1+(Historical_Cost!$C$88/100),G$1-2021),"-")</f>
        <v>8957.1261240000003</v>
      </c>
      <c r="H119" s="108">
        <f>IFERROR((INDEX(lifespans_all!H$127:H$134,MATCH($B119,lifespans_all!$B$127:$B$134,0))*SR_mission_minutes!H46)*POWER(1+(Historical_Cost!$C$88/100),H$1-2021),"-")</f>
        <v>8875.2323994377148</v>
      </c>
      <c r="I119" s="108">
        <f>IFERROR((INDEX(lifespans_all!I$127:I$134,MATCH($B119,lifespans_all!$B$127:$B$134,0))*SR_mission_minutes!I46)*POWER(1+(Historical_Cost!$C$88/100),I$1-2021),"-")</f>
        <v>8786.4800754433381</v>
      </c>
      <c r="J119" s="108">
        <f>IFERROR((INDEX(lifespans_all!J$127:J$134,MATCH($B119,lifespans_all!$B$127:$B$134,0))*SR_mission_minutes!J46)*POWER(1+(Historical_Cost!$C$88/100),J$1-2021),"-")</f>
        <v>8690.6275655294085</v>
      </c>
      <c r="K119" s="108">
        <f>IFERROR((INDEX(lifespans_all!K$127:K$134,MATCH($B119,lifespans_all!$B$127:$B$134,0))*SR_mission_minutes!K46)*POWER(1+(Historical_Cost!$C$88/100),K$1-2021),"-")</f>
        <v>8587.4263631887479</v>
      </c>
      <c r="L119" s="108">
        <f>IFERROR((INDEX(lifespans_all!L$127:L$134,MATCH($B119,lifespans_all!$B$127:$B$134,0))*SR_mission_minutes!L46)*POWER(1+(Historical_Cost!$C$88/100),L$1-2021),"-")</f>
        <v>8476.6208617282482</v>
      </c>
      <c r="M119" s="108">
        <f>IFERROR((INDEX(lifespans_all!M$127:M$134,MATCH($B119,lifespans_all!$B$127:$B$134,0))*SR_mission_minutes!M46)*POWER(1+(Historical_Cost!$C$88/100),M$1-2021),"-")</f>
        <v>8646.1532789628127</v>
      </c>
      <c r="N119" s="108">
        <f>IFERROR((INDEX(lifespans_all!N$127:N$134,MATCH($B119,lifespans_all!$B$127:$B$134,0))*SR_mission_minutes!N46)*POWER(1+(Historical_Cost!$C$88/100),N$1-2021),"-")</f>
        <v>8819.0763445420671</v>
      </c>
      <c r="O119" s="108">
        <f>IFERROR((INDEX(lifespans_all!O$127:O$134,MATCH($B119,lifespans_all!$B$127:$B$134,0))*SR_mission_minutes!O46)*POWER(1+(Historical_Cost!$C$88/100),O$1-2021),"-")</f>
        <v>8995.4578714329109</v>
      </c>
      <c r="P119" s="108">
        <f>IFERROR((INDEX(lifespans_all!P$127:P$134,MATCH($B119,lifespans_all!$B$127:$B$134,0))*SR_mission_minutes!P46)*POWER(1+(Historical_Cost!$C$88/100),P$1-2021),"-")</f>
        <v>9175.3670288615685</v>
      </c>
      <c r="Q119" s="108">
        <f>IFERROR((INDEX(lifespans_all!Q$127:Q$134,MATCH($B119,lifespans_all!$B$127:$B$134,0))*SR_mission_minutes!Q46)*POWER(1+(Historical_Cost!$C$88/100),Q$1-2021),"-")</f>
        <v>9358.8743694388013</v>
      </c>
      <c r="R119" s="108">
        <f>IFERROR((INDEX(lifespans_all!R$127:R$134,MATCH($B119,lifespans_all!$B$127:$B$134,0))*SR_mission_minutes!R46)*POWER(1+(Historical_Cost!$C$88/100),R$1-2021),"-")</f>
        <v>9546.0518568275747</v>
      </c>
      <c r="S119" s="108">
        <f>IFERROR((INDEX(lifespans_all!S$127:S$134,MATCH($B119,lifespans_all!$B$127:$B$134,0))*SR_mission_minutes!S46)*POWER(1+(Historical_Cost!$C$88/100),S$1-2021),"-")</f>
        <v>9736.9728939641263</v>
      </c>
      <c r="T119" s="108">
        <f>IFERROR((INDEX(lifespans_all!T$127:T$134,MATCH($B119,lifespans_all!$B$127:$B$134,0))*SR_mission_minutes!T46)*POWER(1+(Historical_Cost!$C$88/100),T$1-2021),"-")</f>
        <v>9931.7123518434109</v>
      </c>
      <c r="U119" s="108">
        <f>IFERROR((INDEX(lifespans_all!U$127:U$134,MATCH($B119,lifespans_all!$B$127:$B$134,0))*SR_mission_minutes!U46)*POWER(1+(Historical_Cost!$C$88/100),U$1-2021),"-")</f>
        <v>10130.346598880278</v>
      </c>
      <c r="V119" s="108">
        <f>IFERROR((INDEX(lifespans_all!V$127:V$134,MATCH($B119,lifespans_all!$B$127:$B$134,0))*SR_mission_minutes!V46)*POWER(1+(Historical_Cost!$C$88/100),V$1-2021),"-")</f>
        <v>10332.953530857883</v>
      </c>
    </row>
    <row r="120" spans="1:22" x14ac:dyDescent="0.25">
      <c r="A120" s="24" t="s">
        <v>88</v>
      </c>
      <c r="B120" s="23" t="s">
        <v>80</v>
      </c>
      <c r="C120" s="108" t="str">
        <f>IFERROR((INDEX(lifespans_all!C$127:C$134,MATCH($B120,lifespans_all!$B$127:$B$134,0))*SR_mission_minutes!C47)*POWER(1+(Historical_Cost!$C$88/100),C$1-2021),"-")</f>
        <v>-</v>
      </c>
      <c r="D120" s="108" t="str">
        <f>IFERROR((INDEX(lifespans_all!D$127:D$134,MATCH($B120,lifespans_all!$B$127:$B$134,0))*SR_mission_minutes!D47)*POWER(1+(Historical_Cost!$C$88/100),D$1-2021),"-")</f>
        <v>-</v>
      </c>
      <c r="E120" s="108" t="str">
        <f>IFERROR((INDEX(lifespans_all!E$127:E$134,MATCH($B120,lifespans_all!$B$127:$B$134,0))*SR_mission_minutes!E47)*POWER(1+(Historical_Cost!$C$88/100),E$1-2021),"-")</f>
        <v>-</v>
      </c>
      <c r="F120" s="108" t="str">
        <f>IFERROR((INDEX(lifespans_all!F$127:F$134,MATCH($B120,lifespans_all!$B$127:$B$134,0))*SR_mission_minutes!F47)*POWER(1+(Historical_Cost!$C$88/100),F$1-2021),"-")</f>
        <v>-</v>
      </c>
      <c r="G120" s="108" t="str">
        <f>IFERROR((INDEX(lifespans_all!G$127:G$134,MATCH($B120,lifespans_all!$B$127:$B$134,0))*SR_mission_minutes!G47)*POWER(1+(Historical_Cost!$C$88/100),G$1-2021),"-")</f>
        <v>-</v>
      </c>
      <c r="H120" s="108" t="str">
        <f>IFERROR((INDEX(lifespans_all!H$127:H$134,MATCH($B120,lifespans_all!$B$127:$B$134,0))*SR_mission_minutes!H47)*POWER(1+(Historical_Cost!$C$88/100),H$1-2021),"-")</f>
        <v>-</v>
      </c>
      <c r="I120" s="108" t="str">
        <f>IFERROR((INDEX(lifespans_all!I$127:I$134,MATCH($B120,lifespans_all!$B$127:$B$134,0))*SR_mission_minutes!I47)*POWER(1+(Historical_Cost!$C$88/100),I$1-2021),"-")</f>
        <v>-</v>
      </c>
      <c r="J120" s="108" t="str">
        <f>IFERROR((INDEX(lifespans_all!J$127:J$134,MATCH($B120,lifespans_all!$B$127:$B$134,0))*SR_mission_minutes!J47)*POWER(1+(Historical_Cost!$C$88/100),J$1-2021),"-")</f>
        <v>-</v>
      </c>
      <c r="K120" s="108" t="str">
        <f>IFERROR((INDEX(lifespans_all!K$127:K$134,MATCH($B120,lifespans_all!$B$127:$B$134,0))*SR_mission_minutes!K47)*POWER(1+(Historical_Cost!$C$88/100),K$1-2021),"-")</f>
        <v>-</v>
      </c>
      <c r="L120" s="108" t="str">
        <f>IFERROR((INDEX(lifespans_all!L$127:L$134,MATCH($B120,lifespans_all!$B$127:$B$134,0))*SR_mission_minutes!L47)*POWER(1+(Historical_Cost!$C$88/100),L$1-2021),"-")</f>
        <v>-</v>
      </c>
      <c r="M120" s="108" t="str">
        <f>IFERROR((INDEX(lifespans_all!M$127:M$134,MATCH($B120,lifespans_all!$B$127:$B$134,0))*SR_mission_minutes!M47)*POWER(1+(Historical_Cost!$C$88/100),M$1-2021),"-")</f>
        <v>-</v>
      </c>
      <c r="N120" s="108" t="str">
        <f>IFERROR((INDEX(lifespans_all!N$127:N$134,MATCH($B120,lifespans_all!$B$127:$B$134,0))*SR_mission_minutes!N47)*POWER(1+(Historical_Cost!$C$88/100),N$1-2021),"-")</f>
        <v>-</v>
      </c>
      <c r="O120" s="108" t="str">
        <f>IFERROR((INDEX(lifespans_all!O$127:O$134,MATCH($B120,lifespans_all!$B$127:$B$134,0))*SR_mission_minutes!O47)*POWER(1+(Historical_Cost!$C$88/100),O$1-2021),"-")</f>
        <v>-</v>
      </c>
      <c r="P120" s="108" t="str">
        <f>IFERROR((INDEX(lifespans_all!P$127:P$134,MATCH($B120,lifespans_all!$B$127:$B$134,0))*SR_mission_minutes!P47)*POWER(1+(Historical_Cost!$C$88/100),P$1-2021),"-")</f>
        <v>-</v>
      </c>
      <c r="Q120" s="108" t="str">
        <f>IFERROR((INDEX(lifespans_all!Q$127:Q$134,MATCH($B120,lifespans_all!$B$127:$B$134,0))*SR_mission_minutes!Q47)*POWER(1+(Historical_Cost!$C$88/100),Q$1-2021),"-")</f>
        <v>-</v>
      </c>
      <c r="R120" s="108" t="str">
        <f>IFERROR((INDEX(lifespans_all!R$127:R$134,MATCH($B120,lifespans_all!$B$127:$B$134,0))*SR_mission_minutes!R47)*POWER(1+(Historical_Cost!$C$88/100),R$1-2021),"-")</f>
        <v>-</v>
      </c>
      <c r="S120" s="108" t="str">
        <f>IFERROR((INDEX(lifespans_all!S$127:S$134,MATCH($B120,lifespans_all!$B$127:$B$134,0))*SR_mission_minutes!S47)*POWER(1+(Historical_Cost!$C$88/100),S$1-2021),"-")</f>
        <v>-</v>
      </c>
      <c r="T120" s="108" t="str">
        <f>IFERROR((INDEX(lifespans_all!T$127:T$134,MATCH($B120,lifespans_all!$B$127:$B$134,0))*SR_mission_minutes!T47)*POWER(1+(Historical_Cost!$C$88/100),T$1-2021),"-")</f>
        <v>-</v>
      </c>
      <c r="U120" s="108" t="str">
        <f>IFERROR((INDEX(lifespans_all!U$127:U$134,MATCH($B120,lifespans_all!$B$127:$B$134,0))*SR_mission_minutes!U47)*POWER(1+(Historical_Cost!$C$88/100),U$1-2021),"-")</f>
        <v>-</v>
      </c>
      <c r="V120" s="108" t="str">
        <f>IFERROR((INDEX(lifespans_all!V$127:V$134,MATCH($B120,lifespans_all!$B$127:$B$134,0))*SR_mission_minutes!V47)*POWER(1+(Historical_Cost!$C$88/100),V$1-2021),"-")</f>
        <v>-</v>
      </c>
    </row>
    <row r="121" spans="1:22" x14ac:dyDescent="0.25">
      <c r="A121" s="24" t="s">
        <v>88</v>
      </c>
      <c r="B121" s="23" t="s">
        <v>44</v>
      </c>
      <c r="C121" s="108">
        <f>IFERROR((INDEX(lifespans_all!C$127:C$134,MATCH($B121,lifespans_all!$B$127:$B$134,0))*SR_mission_minutes!C48)*POWER(1+(Historical_Cost!$C$88/100),C$1-2021),"-")</f>
        <v>-46.050000000000004</v>
      </c>
      <c r="D121" s="108">
        <f>IFERROR((INDEX(lifespans_all!D$127:D$134,MATCH($B121,lifespans_all!$B$127:$B$134,0))*SR_mission_minutes!D48)*POWER(1+(Historical_Cost!$C$88/100),D$1-2021),"-")</f>
        <v>-93.942000000000007</v>
      </c>
      <c r="E121" s="108">
        <f>IFERROR((INDEX(lifespans_all!E$127:E$134,MATCH($B121,lifespans_all!$B$127:$B$134,0))*SR_mission_minutes!E48)*POWER(1+(Historical_Cost!$C$88/100),E$1-2021),"-")</f>
        <v>-143.73126000000002</v>
      </c>
      <c r="F121" s="108">
        <f>IFERROR((INDEX(lifespans_all!F$127:F$134,MATCH($B121,lifespans_all!$B$127:$B$134,0))*SR_mission_minutes!F48)*POWER(1+(Historical_Cost!$C$88/100),F$1-2021),"-")</f>
        <v>-195.47451359999999</v>
      </c>
      <c r="G121" s="108">
        <f>IFERROR((INDEX(lifespans_all!G$127:G$134,MATCH($B121,lifespans_all!$B$127:$B$134,0))*SR_mission_minutes!G48)*POWER(1+(Historical_Cost!$C$88/100),G$1-2021),"-")</f>
        <v>249.23000483999999</v>
      </c>
      <c r="H121" s="108">
        <f>IFERROR((INDEX(lifespans_all!H$127:H$134,MATCH($B121,lifespans_all!$B$127:$B$134,0))*SR_mission_minutes!H48)*POWER(1+(Historical_Cost!$C$88/100),H$1-2021),"-")</f>
        <v>203.37168394944001</v>
      </c>
      <c r="I121" s="108">
        <f>IFERROR((INDEX(lifespans_all!I$127:I$134,MATCH($B121,lifespans_all!$B$127:$B$134,0))*SR_mission_minutes!I48)*POWER(1+(Historical_Cost!$C$88/100),I$1-2021),"-")</f>
        <v>155.57933822132165</v>
      </c>
      <c r="J121" s="108">
        <f>IFERROR((INDEX(lifespans_all!J$127:J$134,MATCH($B121,lifespans_all!$B$127:$B$134,0))*SR_mission_minutes!J48)*POWER(1+(Historical_Cost!$C$88/100),J$1-2021),"-")</f>
        <v>105.79394999049872</v>
      </c>
      <c r="K121" s="108">
        <f>IFERROR((INDEX(lifespans_all!K$127:K$134,MATCH($B121,lifespans_all!$B$127:$B$134,0))*SR_mission_minutes!K48)*POWER(1+(Historical_Cost!$C$88/100),K$1-2021),"-")</f>
        <v>53.954914495154377</v>
      </c>
      <c r="L121" s="108">
        <f>IFERROR((INDEX(lifespans_all!L$127:L$134,MATCH($B121,lifespans_all!$B$127:$B$134,0))*SR_mission_minutes!L48)*POWER(1+(Historical_Cost!$C$88/100),L$1-2021),"-")</f>
        <v>0</v>
      </c>
      <c r="M121" s="108">
        <f>IFERROR((INDEX(lifespans_all!M$127:M$134,MATCH($B121,lifespans_all!$B$127:$B$134,0))*SR_mission_minutes!M48)*POWER(1+(Historical_Cost!$C$88/100),M$1-2021),"-")</f>
        <v>0</v>
      </c>
      <c r="N121" s="108">
        <f>IFERROR((INDEX(lifespans_all!N$127:N$134,MATCH($B121,lifespans_all!$B$127:$B$134,0))*SR_mission_minutes!N48)*POWER(1+(Historical_Cost!$C$88/100),N$1-2021),"-")</f>
        <v>0</v>
      </c>
      <c r="O121" s="108">
        <f>IFERROR((INDEX(lifespans_all!O$127:O$134,MATCH($B121,lifespans_all!$B$127:$B$134,0))*SR_mission_minutes!O48)*POWER(1+(Historical_Cost!$C$88/100),O$1-2021),"-")</f>
        <v>0</v>
      </c>
      <c r="P121" s="108">
        <f>IFERROR((INDEX(lifespans_all!P$127:P$134,MATCH($B121,lifespans_all!$B$127:$B$134,0))*SR_mission_minutes!P48)*POWER(1+(Historical_Cost!$C$88/100),P$1-2021),"-")</f>
        <v>0</v>
      </c>
      <c r="Q121" s="108">
        <f>IFERROR((INDEX(lifespans_all!Q$127:Q$134,MATCH($B121,lifespans_all!$B$127:$B$134,0))*SR_mission_minutes!Q48)*POWER(1+(Historical_Cost!$C$88/100),Q$1-2021),"-")</f>
        <v>0</v>
      </c>
      <c r="R121" s="108">
        <f>IFERROR((INDEX(lifespans_all!R$127:R$134,MATCH($B121,lifespans_all!$B$127:$B$134,0))*SR_mission_minutes!R48)*POWER(1+(Historical_Cost!$C$88/100),R$1-2021),"-")</f>
        <v>0</v>
      </c>
      <c r="S121" s="108">
        <f>IFERROR((INDEX(lifespans_all!S$127:S$134,MATCH($B121,lifespans_all!$B$127:$B$134,0))*SR_mission_minutes!S48)*POWER(1+(Historical_Cost!$C$88/100),S$1-2021),"-")</f>
        <v>0</v>
      </c>
      <c r="T121" s="108">
        <f>IFERROR((INDEX(lifespans_all!T$127:T$134,MATCH($B121,lifespans_all!$B$127:$B$134,0))*SR_mission_minutes!T48)*POWER(1+(Historical_Cost!$C$88/100),T$1-2021),"-")</f>
        <v>0</v>
      </c>
      <c r="U121" s="108">
        <f>IFERROR((INDEX(lifespans_all!U$127:U$134,MATCH($B121,lifespans_all!$B$127:$B$134,0))*SR_mission_minutes!U48)*POWER(1+(Historical_Cost!$C$88/100),U$1-2021),"-")</f>
        <v>0</v>
      </c>
      <c r="V121" s="108">
        <f>IFERROR((INDEX(lifespans_all!V$127:V$134,MATCH($B121,lifespans_all!$B$127:$B$134,0))*SR_mission_minutes!V48)*POWER(1+(Historical_Cost!$C$88/100),V$1-2021),"-")</f>
        <v>0</v>
      </c>
    </row>
    <row r="122" spans="1:22" x14ac:dyDescent="0.25">
      <c r="A122" s="24" t="s">
        <v>88</v>
      </c>
      <c r="B122" s="23" t="s">
        <v>81</v>
      </c>
      <c r="C122" s="108" t="str">
        <f>IFERROR((INDEX(lifespans_all!C$127:C$134,MATCH($B122,lifespans_all!$B$127:$B$134,0))*SR_mission_minutes!C49)*POWER(1+(Historical_Cost!$C$88/100),C$1-2021),"-")</f>
        <v>-</v>
      </c>
      <c r="D122" s="108" t="str">
        <f>IFERROR((INDEX(lifespans_all!D$127:D$134,MATCH($B122,lifespans_all!$B$127:$B$134,0))*SR_mission_minutes!D49)*POWER(1+(Historical_Cost!$C$88/100),D$1-2021),"-")</f>
        <v>-</v>
      </c>
      <c r="E122" s="108" t="str">
        <f>IFERROR((INDEX(lifespans_all!E$127:E$134,MATCH($B122,lifespans_all!$B$127:$B$134,0))*SR_mission_minutes!E49)*POWER(1+(Historical_Cost!$C$88/100),E$1-2021),"-")</f>
        <v>-</v>
      </c>
      <c r="F122" s="108" t="str">
        <f>IFERROR((INDEX(lifespans_all!F$127:F$134,MATCH($B122,lifespans_all!$B$127:$B$134,0))*SR_mission_minutes!F49)*POWER(1+(Historical_Cost!$C$88/100),F$1-2021),"-")</f>
        <v>-</v>
      </c>
      <c r="G122" s="108" t="str">
        <f>IFERROR((INDEX(lifespans_all!G$127:G$134,MATCH($B122,lifespans_all!$B$127:$B$134,0))*SR_mission_minutes!G49)*POWER(1+(Historical_Cost!$C$88/100),G$1-2021),"-")</f>
        <v>-</v>
      </c>
      <c r="H122" s="108" t="str">
        <f>IFERROR((INDEX(lifespans_all!H$127:H$134,MATCH($B122,lifespans_all!$B$127:$B$134,0))*SR_mission_minutes!H49)*POWER(1+(Historical_Cost!$C$88/100),H$1-2021),"-")</f>
        <v>-</v>
      </c>
      <c r="I122" s="108" t="str">
        <f>IFERROR((INDEX(lifespans_all!I$127:I$134,MATCH($B122,lifespans_all!$B$127:$B$134,0))*SR_mission_minutes!I49)*POWER(1+(Historical_Cost!$C$88/100),I$1-2021),"-")</f>
        <v>-</v>
      </c>
      <c r="J122" s="108" t="str">
        <f>IFERROR((INDEX(lifespans_all!J$127:J$134,MATCH($B122,lifespans_all!$B$127:$B$134,0))*SR_mission_minutes!J49)*POWER(1+(Historical_Cost!$C$88/100),J$1-2021),"-")</f>
        <v>-</v>
      </c>
      <c r="K122" s="108" t="str">
        <f>IFERROR((INDEX(lifespans_all!K$127:K$134,MATCH($B122,lifespans_all!$B$127:$B$134,0))*SR_mission_minutes!K49)*POWER(1+(Historical_Cost!$C$88/100),K$1-2021),"-")</f>
        <v>-</v>
      </c>
      <c r="L122" s="108" t="str">
        <f>IFERROR((INDEX(lifespans_all!L$127:L$134,MATCH($B122,lifespans_all!$B$127:$B$134,0))*SR_mission_minutes!L49)*POWER(1+(Historical_Cost!$C$88/100),L$1-2021),"-")</f>
        <v>-</v>
      </c>
      <c r="M122" s="108" t="str">
        <f>IFERROR((INDEX(lifespans_all!M$127:M$134,MATCH($B122,lifespans_all!$B$127:$B$134,0))*SR_mission_minutes!M49)*POWER(1+(Historical_Cost!$C$88/100),M$1-2021),"-")</f>
        <v>-</v>
      </c>
      <c r="N122" s="108" t="str">
        <f>IFERROR((INDEX(lifespans_all!N$127:N$134,MATCH($B122,lifespans_all!$B$127:$B$134,0))*SR_mission_minutes!N49)*POWER(1+(Historical_Cost!$C$88/100),N$1-2021),"-")</f>
        <v>-</v>
      </c>
      <c r="O122" s="108" t="str">
        <f>IFERROR((INDEX(lifespans_all!O$127:O$134,MATCH($B122,lifespans_all!$B$127:$B$134,0))*SR_mission_minutes!O49)*POWER(1+(Historical_Cost!$C$88/100),O$1-2021),"-")</f>
        <v>-</v>
      </c>
      <c r="P122" s="108" t="str">
        <f>IFERROR((INDEX(lifespans_all!P$127:P$134,MATCH($B122,lifespans_all!$B$127:$B$134,0))*SR_mission_minutes!P49)*POWER(1+(Historical_Cost!$C$88/100),P$1-2021),"-")</f>
        <v>-</v>
      </c>
      <c r="Q122" s="108" t="str">
        <f>IFERROR((INDEX(lifespans_all!Q$127:Q$134,MATCH($B122,lifespans_all!$B$127:$B$134,0))*SR_mission_minutes!Q49)*POWER(1+(Historical_Cost!$C$88/100),Q$1-2021),"-")</f>
        <v>-</v>
      </c>
      <c r="R122" s="108" t="str">
        <f>IFERROR((INDEX(lifespans_all!R$127:R$134,MATCH($B122,lifespans_all!$B$127:$B$134,0))*SR_mission_minutes!R49)*POWER(1+(Historical_Cost!$C$88/100),R$1-2021),"-")</f>
        <v>-</v>
      </c>
      <c r="S122" s="108" t="str">
        <f>IFERROR((INDEX(lifespans_all!S$127:S$134,MATCH($B122,lifespans_all!$B$127:$B$134,0))*SR_mission_minutes!S49)*POWER(1+(Historical_Cost!$C$88/100),S$1-2021),"-")</f>
        <v>-</v>
      </c>
      <c r="T122" s="108" t="str">
        <f>IFERROR((INDEX(lifespans_all!T$127:T$134,MATCH($B122,lifespans_all!$B$127:$B$134,0))*SR_mission_minutes!T49)*POWER(1+(Historical_Cost!$C$88/100),T$1-2021),"-")</f>
        <v>-</v>
      </c>
      <c r="U122" s="108" t="str">
        <f>IFERROR((INDEX(lifespans_all!U$127:U$134,MATCH($B122,lifespans_all!$B$127:$B$134,0))*SR_mission_minutes!U49)*POWER(1+(Historical_Cost!$C$88/100),U$1-2021),"-")</f>
        <v>-</v>
      </c>
      <c r="V122" s="108" t="str">
        <f>IFERROR((INDEX(lifespans_all!V$127:V$134,MATCH($B122,lifespans_all!$B$127:$B$134,0))*SR_mission_minutes!V49)*POWER(1+(Historical_Cost!$C$88/100),V$1-2021),"-")</f>
        <v>-</v>
      </c>
    </row>
    <row r="123" spans="1:22" x14ac:dyDescent="0.25">
      <c r="A123" s="24" t="s">
        <v>88</v>
      </c>
      <c r="B123" s="23" t="s">
        <v>42</v>
      </c>
      <c r="C123" s="108" t="str">
        <f>IFERROR((INDEX(lifespans_all!C$127:C$134,MATCH($B123,lifespans_all!$B$127:$B$134,0))*SR_mission_minutes!C50)*POWER(1+(Historical_Cost!$C$88/100),C$1-2021),"-")</f>
        <v>-</v>
      </c>
      <c r="D123" s="108" t="str">
        <f>IFERROR((INDEX(lifespans_all!D$127:D$134,MATCH($B123,lifespans_all!$B$127:$B$134,0))*SR_mission_minutes!D50)*POWER(1+(Historical_Cost!$C$88/100),D$1-2021),"-")</f>
        <v>-</v>
      </c>
      <c r="E123" s="108" t="str">
        <f>IFERROR((INDEX(lifespans_all!E$127:E$134,MATCH($B123,lifespans_all!$B$127:$B$134,0))*SR_mission_minutes!E50)*POWER(1+(Historical_Cost!$C$88/100),E$1-2021),"-")</f>
        <v>-</v>
      </c>
      <c r="F123" s="108" t="str">
        <f>IFERROR((INDEX(lifespans_all!F$127:F$134,MATCH($B123,lifespans_all!$B$127:$B$134,0))*SR_mission_minutes!F50)*POWER(1+(Historical_Cost!$C$88/100),F$1-2021),"-")</f>
        <v>-</v>
      </c>
      <c r="G123" s="108" t="str">
        <f>IFERROR((INDEX(lifespans_all!G$127:G$134,MATCH($B123,lifespans_all!$B$127:$B$134,0))*SR_mission_minutes!G50)*POWER(1+(Historical_Cost!$C$88/100),G$1-2021),"-")</f>
        <v>-</v>
      </c>
      <c r="H123" s="108" t="str">
        <f>IFERROR((INDEX(lifespans_all!H$127:H$134,MATCH($B123,lifespans_all!$B$127:$B$134,0))*SR_mission_minutes!H50)*POWER(1+(Historical_Cost!$C$88/100),H$1-2021),"-")</f>
        <v>-</v>
      </c>
      <c r="I123" s="108" t="str">
        <f>IFERROR((INDEX(lifespans_all!I$127:I$134,MATCH($B123,lifespans_all!$B$127:$B$134,0))*SR_mission_minutes!I50)*POWER(1+(Historical_Cost!$C$88/100),I$1-2021),"-")</f>
        <v>-</v>
      </c>
      <c r="J123" s="108" t="str">
        <f>IFERROR((INDEX(lifespans_all!J$127:J$134,MATCH($B123,lifespans_all!$B$127:$B$134,0))*SR_mission_minutes!J50)*POWER(1+(Historical_Cost!$C$88/100),J$1-2021),"-")</f>
        <v>-</v>
      </c>
      <c r="K123" s="108" t="str">
        <f>IFERROR((INDEX(lifespans_all!K$127:K$134,MATCH($B123,lifespans_all!$B$127:$B$134,0))*SR_mission_minutes!K50)*POWER(1+(Historical_Cost!$C$88/100),K$1-2021),"-")</f>
        <v>-</v>
      </c>
      <c r="L123" s="108" t="str">
        <f>IFERROR((INDEX(lifespans_all!L$127:L$134,MATCH($B123,lifespans_all!$B$127:$B$134,0))*SR_mission_minutes!L50)*POWER(1+(Historical_Cost!$C$88/100),L$1-2021),"-")</f>
        <v>-</v>
      </c>
      <c r="M123" s="108" t="str">
        <f>IFERROR((INDEX(lifespans_all!M$127:M$134,MATCH($B123,lifespans_all!$B$127:$B$134,0))*SR_mission_minutes!M50)*POWER(1+(Historical_Cost!$C$88/100),M$1-2021),"-")</f>
        <v>-</v>
      </c>
      <c r="N123" s="108" t="str">
        <f>IFERROR((INDEX(lifespans_all!N$127:N$134,MATCH($B123,lifespans_all!$B$127:$B$134,0))*SR_mission_minutes!N50)*POWER(1+(Historical_Cost!$C$88/100),N$1-2021),"-")</f>
        <v>-</v>
      </c>
      <c r="O123" s="108" t="str">
        <f>IFERROR((INDEX(lifespans_all!O$127:O$134,MATCH($B123,lifespans_all!$B$127:$B$134,0))*SR_mission_minutes!O50)*POWER(1+(Historical_Cost!$C$88/100),O$1-2021),"-")</f>
        <v>-</v>
      </c>
      <c r="P123" s="108" t="str">
        <f>IFERROR((INDEX(lifespans_all!P$127:P$134,MATCH($B123,lifespans_all!$B$127:$B$134,0))*SR_mission_minutes!P50)*POWER(1+(Historical_Cost!$C$88/100),P$1-2021),"-")</f>
        <v>-</v>
      </c>
      <c r="Q123" s="108" t="str">
        <f>IFERROR((INDEX(lifespans_all!Q$127:Q$134,MATCH($B123,lifespans_all!$B$127:$B$134,0))*SR_mission_minutes!Q50)*POWER(1+(Historical_Cost!$C$88/100),Q$1-2021),"-")</f>
        <v>-</v>
      </c>
      <c r="R123" s="108" t="str">
        <f>IFERROR((INDEX(lifespans_all!R$127:R$134,MATCH($B123,lifespans_all!$B$127:$B$134,0))*SR_mission_minutes!R50)*POWER(1+(Historical_Cost!$C$88/100),R$1-2021),"-")</f>
        <v>-</v>
      </c>
      <c r="S123" s="108" t="str">
        <f>IFERROR((INDEX(lifespans_all!S$127:S$134,MATCH($B123,lifespans_all!$B$127:$B$134,0))*SR_mission_minutes!S50)*POWER(1+(Historical_Cost!$C$88/100),S$1-2021),"-")</f>
        <v>-</v>
      </c>
      <c r="T123" s="108" t="str">
        <f>IFERROR((INDEX(lifespans_all!T$127:T$134,MATCH($B123,lifespans_all!$B$127:$B$134,0))*SR_mission_minutes!T50)*POWER(1+(Historical_Cost!$C$88/100),T$1-2021),"-")</f>
        <v>-</v>
      </c>
      <c r="U123" s="108" t="str">
        <f>IFERROR((INDEX(lifespans_all!U$127:U$134,MATCH($B123,lifespans_all!$B$127:$B$134,0))*SR_mission_minutes!U50)*POWER(1+(Historical_Cost!$C$88/100),U$1-2021),"-")</f>
        <v>-</v>
      </c>
      <c r="V123" s="108" t="str">
        <f>IFERROR((INDEX(lifespans_all!V$127:V$134,MATCH($B123,lifespans_all!$B$127:$B$134,0))*SR_mission_minutes!V50)*POWER(1+(Historical_Cost!$C$88/100),V$1-2021),"-")</f>
        <v>-</v>
      </c>
    </row>
    <row r="124" spans="1:22" x14ac:dyDescent="0.25">
      <c r="A124" s="24" t="s">
        <v>88</v>
      </c>
      <c r="B124" s="23" t="s">
        <v>45</v>
      </c>
      <c r="C124" s="108">
        <f>IFERROR((INDEX(lifespans_all!C$127:C$134,MATCH($B124,lifespans_all!$B$127:$B$134,0))*SR_mission_minutes!C51)*POWER(1+(Historical_Cost!$C$88/100),C$1-2021),"-")</f>
        <v>-10121.800000000001</v>
      </c>
      <c r="D124" s="108">
        <f>IFERROR((INDEX(lifespans_all!D$127:D$134,MATCH($B124,lifespans_all!$B$127:$B$134,0))*SR_mission_minutes!D51)*POWER(1+(Historical_Cost!$C$88/100),D$1-2021),"-")</f>
        <v>13765.648000000003</v>
      </c>
      <c r="E124" s="108">
        <f>IFERROR((INDEX(lifespans_all!E$127:E$134,MATCH($B124,lifespans_all!$B$127:$B$134,0))*SR_mission_minutes!E51)*POWER(1+(Historical_Cost!$C$88/100),E$1-2021),"-")</f>
        <v>3510.2402400000033</v>
      </c>
      <c r="F124" s="108">
        <f>IFERROR((INDEX(lifespans_all!F$127:F$134,MATCH($B124,lifespans_all!$B$127:$B$134,0))*SR_mission_minutes!F51)*POWER(1+(Historical_Cost!$C$88/100),F$1-2021),"-")</f>
        <v>-7160.8900895999986</v>
      </c>
      <c r="G124" s="108">
        <f>IFERROR((INDEX(lifespans_all!G$127:G$134,MATCH($B124,lifespans_all!$B$127:$B$134,0))*SR_mission_minutes!G51)*POWER(1+(Historical_Cost!$C$88/100),G$1-2021),"-")</f>
        <v>-18260.269728480002</v>
      </c>
      <c r="H124" s="108">
        <f>IFERROR((INDEX(lifespans_all!H$127:H$134,MATCH($B124,lifespans_all!$B$127:$B$134,0))*SR_mission_minutes!H51)*POWER(1+(Historical_Cost!$C$88/100),H$1-2021),"-")</f>
        <v>7450.1900492198392</v>
      </c>
      <c r="I124" s="108">
        <f>IFERROR((INDEX(lifespans_all!I$127:I$134,MATCH($B124,lifespans_all!$B$127:$B$134,0))*SR_mission_minutes!I51)*POWER(1+(Historical_Cost!$C$88/100),I$1-2021),"-")</f>
        <v>-3799.5969251021224</v>
      </c>
      <c r="J124" s="108">
        <f>IFERROR((INDEX(lifespans_all!J$127:J$134,MATCH($B124,lifespans_all!$B$127:$B$134,0))*SR_mission_minutes!J51)*POWER(1+(Historical_Cost!$C$88/100),J$1-2021),"-")</f>
        <v>-15502.355454416638</v>
      </c>
      <c r="K124" s="108">
        <f>IFERROR((INDEX(lifespans_all!K$127:K$134,MATCH($B124,lifespans_all!$B$127:$B$134,0))*SR_mission_minutes!K51)*POWER(1+(Historical_Cost!$C$88/100),K$1-2021),"-")</f>
        <v>-27671.704486133698</v>
      </c>
      <c r="L124" s="108">
        <f>IFERROR((INDEX(lifespans_all!L$127:L$134,MATCH($B124,lifespans_all!$B$127:$B$134,0))*SR_mission_minutes!L51)*POWER(1+(Historical_Cost!$C$88/100),L$1-2021),"-")</f>
        <v>-40321.626536937671</v>
      </c>
      <c r="M124" s="108">
        <f>IFERROR((INDEX(lifespans_all!M$127:M$134,MATCH($B124,lifespans_all!$B$127:$B$134,0))*SR_mission_minutes!M51)*POWER(1+(Historical_Cost!$C$88/100),M$1-2021),"-")</f>
        <v>-41128.059067676426</v>
      </c>
      <c r="N124" s="108">
        <f>IFERROR((INDEX(lifespans_all!N$127:N$134,MATCH($B124,lifespans_all!$B$127:$B$134,0))*SR_mission_minutes!N51)*POWER(1+(Historical_Cost!$C$88/100),N$1-2021),"-")</f>
        <v>-41950.620249029947</v>
      </c>
      <c r="O124" s="108">
        <f>IFERROR((INDEX(lifespans_all!O$127:O$134,MATCH($B124,lifespans_all!$B$127:$B$134,0))*SR_mission_minutes!O51)*POWER(1+(Historical_Cost!$C$88/100),O$1-2021),"-")</f>
        <v>-42789.632654010551</v>
      </c>
      <c r="P124" s="108">
        <f>IFERROR((INDEX(lifespans_all!P$127:P$134,MATCH($B124,lifespans_all!$B$127:$B$134,0))*SR_mission_minutes!P51)*POWER(1+(Historical_Cost!$C$88/100),P$1-2021),"-")</f>
        <v>-43645.425307090765</v>
      </c>
      <c r="Q124" s="108">
        <f>IFERROR((INDEX(lifespans_all!Q$127:Q$134,MATCH($B124,lifespans_all!$B$127:$B$134,0))*SR_mission_minutes!Q51)*POWER(1+(Historical_Cost!$C$88/100),Q$1-2021),"-")</f>
        <v>-44518.333813232581</v>
      </c>
      <c r="R124" s="108">
        <f>IFERROR((INDEX(lifespans_all!R$127:R$134,MATCH($B124,lifespans_all!$B$127:$B$134,0))*SR_mission_minutes!R51)*POWER(1+(Historical_Cost!$C$88/100),R$1-2021),"-")</f>
        <v>-45408.70048949722</v>
      </c>
      <c r="S124" s="108">
        <f>IFERROR((INDEX(lifespans_all!S$127:S$134,MATCH($B124,lifespans_all!$B$127:$B$134,0))*SR_mission_minutes!S51)*POWER(1+(Historical_Cost!$C$88/100),S$1-2021),"-")</f>
        <v>-46316.874499287173</v>
      </c>
      <c r="T124" s="108">
        <f>IFERROR((INDEX(lifespans_all!T$127:T$134,MATCH($B124,lifespans_all!$B$127:$B$134,0))*SR_mission_minutes!T51)*POWER(1+(Historical_Cost!$C$88/100),T$1-2021),"-")</f>
        <v>-47243.211989272917</v>
      </c>
      <c r="U124" s="108">
        <f>IFERROR((INDEX(lifespans_all!U$127:U$134,MATCH($B124,lifespans_all!$B$127:$B$134,0))*SR_mission_minutes!U51)*POWER(1+(Historical_Cost!$C$88/100),U$1-2021),"-")</f>
        <v>-48188.076229058373</v>
      </c>
      <c r="V124" s="108">
        <f>IFERROR((INDEX(lifespans_all!V$127:V$134,MATCH($B124,lifespans_all!$B$127:$B$134,0))*SR_mission_minutes!V51)*POWER(1+(Historical_Cost!$C$88/100),V$1-2021),"-")</f>
        <v>-49151.837753639542</v>
      </c>
    </row>
    <row r="125" spans="1:22" x14ac:dyDescent="0.25">
      <c r="A125" s="48"/>
      <c r="B125" s="48"/>
      <c r="C125" s="121"/>
      <c r="D125" s="2"/>
      <c r="E125" s="2"/>
      <c r="F125" s="2"/>
      <c r="G125" s="2"/>
      <c r="H125" s="2"/>
      <c r="I125" s="2"/>
      <c r="J125" s="2"/>
      <c r="K125" s="2"/>
      <c r="L125" s="2"/>
      <c r="M125" s="2"/>
      <c r="N125" s="2"/>
      <c r="O125" s="2"/>
      <c r="P125" s="2"/>
      <c r="Q125" s="2"/>
      <c r="R125" s="2"/>
      <c r="S125" s="2"/>
      <c r="T125" s="2"/>
      <c r="U125" s="2"/>
      <c r="V125" s="2"/>
    </row>
    <row r="126" spans="1:22" x14ac:dyDescent="0.25">
      <c r="A126" s="48"/>
      <c r="B126" s="48"/>
      <c r="C126" s="25">
        <f t="shared" ref="C126:U126" si="13">SUM(C75:C124)</f>
        <v>1601601.0952380954</v>
      </c>
      <c r="D126" s="25">
        <f t="shared" si="13"/>
        <v>1460749.1384126984</v>
      </c>
      <c r="E126" s="25">
        <f t="shared" si="13"/>
        <v>1455735.8961269842</v>
      </c>
      <c r="F126" s="25">
        <f t="shared" si="13"/>
        <v>1385237.5185452062</v>
      </c>
      <c r="G126" s="25">
        <f t="shared" si="13"/>
        <v>1353450.2879292269</v>
      </c>
      <c r="H126" s="25">
        <f t="shared" si="13"/>
        <v>1299950.6019840823</v>
      </c>
      <c r="I126" s="25">
        <f t="shared" si="13"/>
        <v>1249319.2870349388</v>
      </c>
      <c r="J126" s="25">
        <f t="shared" si="13"/>
        <v>1194588.612325958</v>
      </c>
      <c r="K126" s="25">
        <f t="shared" si="13"/>
        <v>1119884.6968863616</v>
      </c>
      <c r="L126" s="25">
        <f t="shared" si="13"/>
        <v>1041940.6068731395</v>
      </c>
      <c r="M126" s="25">
        <f t="shared" si="13"/>
        <v>1216683.2645153133</v>
      </c>
      <c r="N126" s="25">
        <f t="shared" si="13"/>
        <v>1232023.6353611751</v>
      </c>
      <c r="O126" s="25">
        <f t="shared" si="13"/>
        <v>1247670.8136239543</v>
      </c>
      <c r="P126" s="25">
        <f t="shared" si="13"/>
        <v>1263630.9354519888</v>
      </c>
      <c r="Q126" s="25">
        <f t="shared" si="13"/>
        <v>1279910.2597165841</v>
      </c>
      <c r="R126" s="25">
        <f t="shared" si="13"/>
        <v>1296515.1704664715</v>
      </c>
      <c r="S126" s="25">
        <f t="shared" si="13"/>
        <v>1313452.1794313563</v>
      </c>
      <c r="T126" s="25">
        <f t="shared" si="13"/>
        <v>1330727.9285755393</v>
      </c>
      <c r="U126" s="25">
        <f t="shared" si="13"/>
        <v>1348349.1927026054</v>
      </c>
      <c r="V126" s="25">
        <f>SUM(V75:V124)</f>
        <v>1366322.8821122129</v>
      </c>
    </row>
    <row r="127" spans="1:22" ht="14.4" thickBot="1" x14ac:dyDescent="0.3">
      <c r="B127" s="2" t="s">
        <v>76</v>
      </c>
      <c r="C127" s="26"/>
      <c r="D127" s="26"/>
      <c r="E127" s="26"/>
      <c r="F127" s="26"/>
      <c r="G127" s="26"/>
      <c r="H127" s="26"/>
      <c r="I127" s="26"/>
      <c r="J127" s="26"/>
      <c r="K127" s="26"/>
      <c r="L127" s="2"/>
      <c r="M127" s="2"/>
      <c r="N127" s="26"/>
      <c r="O127" s="26"/>
      <c r="P127" s="26"/>
      <c r="Q127" s="26"/>
      <c r="R127" s="26"/>
      <c r="S127" s="26"/>
      <c r="T127" s="26"/>
      <c r="U127" s="26"/>
      <c r="V127" s="26"/>
    </row>
    <row r="128" spans="1:22" x14ac:dyDescent="0.25">
      <c r="B128" s="57" t="s">
        <v>82</v>
      </c>
      <c r="C128" s="78">
        <v>2021</v>
      </c>
      <c r="D128" s="79">
        <v>2022</v>
      </c>
      <c r="E128" s="78">
        <v>2023</v>
      </c>
      <c r="F128" s="79">
        <v>2024</v>
      </c>
      <c r="G128" s="78">
        <v>2025</v>
      </c>
      <c r="H128" s="79">
        <v>2026</v>
      </c>
      <c r="I128" s="78">
        <v>2027</v>
      </c>
      <c r="J128" s="79">
        <v>2028</v>
      </c>
      <c r="K128" s="78">
        <v>2029</v>
      </c>
      <c r="L128" s="79">
        <v>2030</v>
      </c>
      <c r="M128" s="78">
        <v>2031</v>
      </c>
      <c r="N128" s="79">
        <v>2032</v>
      </c>
      <c r="O128" s="78">
        <v>2033</v>
      </c>
      <c r="P128" s="79">
        <v>2034</v>
      </c>
      <c r="Q128" s="78">
        <v>2035</v>
      </c>
      <c r="R128" s="79">
        <v>2036</v>
      </c>
      <c r="S128" s="78">
        <v>2037</v>
      </c>
      <c r="T128" s="79">
        <v>2038</v>
      </c>
      <c r="U128" s="78">
        <v>2039</v>
      </c>
      <c r="V128" s="79">
        <v>2040</v>
      </c>
    </row>
    <row r="129" spans="2:22" x14ac:dyDescent="0.25">
      <c r="B129" s="36" t="s">
        <v>43</v>
      </c>
      <c r="C129" s="81">
        <f>SUMIF($B75:$B124,$B129,C$75:C$124)</f>
        <v>402076.5</v>
      </c>
      <c r="D129" s="81">
        <f t="shared" ref="D129:V129" si="14">SUMIF($B75:$B124,$B129,D$75:D$124)</f>
        <v>342339.42</v>
      </c>
      <c r="E129" s="81">
        <f t="shared" si="14"/>
        <v>280235.83259999997</v>
      </c>
      <c r="F129" s="81">
        <f t="shared" si="14"/>
        <v>215694.97233600001</v>
      </c>
      <c r="G129" s="81">
        <f t="shared" si="14"/>
        <v>148644.18972840003</v>
      </c>
      <c r="H129" s="81">
        <f t="shared" si="14"/>
        <v>79008.904227561608</v>
      </c>
      <c r="I129" s="81">
        <f t="shared" si="14"/>
        <v>6712.556030798296</v>
      </c>
      <c r="J129" s="81">
        <f t="shared" si="14"/>
        <v>-68323.443255526479</v>
      </c>
      <c r="K129" s="81">
        <f t="shared" si="14"/>
        <v>-146179.76113571669</v>
      </c>
      <c r="L129" s="81">
        <f t="shared" si="14"/>
        <v>-226939.19595381222</v>
      </c>
      <c r="M129" s="81">
        <f t="shared" si="14"/>
        <v>-75473.579923733079</v>
      </c>
      <c r="N129" s="81">
        <f t="shared" si="14"/>
        <v>-83875.79152220767</v>
      </c>
      <c r="O129" s="81">
        <f t="shared" si="14"/>
        <v>-92446.047352651891</v>
      </c>
      <c r="P129" s="81">
        <f t="shared" si="14"/>
        <v>-101187.70829970494</v>
      </c>
      <c r="Q129" s="81">
        <f t="shared" si="14"/>
        <v>-110104.20246569905</v>
      </c>
      <c r="R129" s="81">
        <f t="shared" si="14"/>
        <v>-119199.0265150129</v>
      </c>
      <c r="S129" s="81">
        <f t="shared" si="14"/>
        <v>-128475.74704531324</v>
      </c>
      <c r="T129" s="81">
        <f t="shared" si="14"/>
        <v>-137938.00198621955</v>
      </c>
      <c r="U129" s="81">
        <f t="shared" si="14"/>
        <v>-147589.50202594389</v>
      </c>
      <c r="V129" s="81">
        <f t="shared" si="14"/>
        <v>-157434.03206646274</v>
      </c>
    </row>
    <row r="130" spans="2:22" x14ac:dyDescent="0.25">
      <c r="B130" s="36" t="s">
        <v>41</v>
      </c>
      <c r="C130" s="81">
        <f>SUMIF($B75:$B124,$B130,C$75:C$124)</f>
        <v>1094275.5166666666</v>
      </c>
      <c r="D130" s="81">
        <f t="shared" ref="D130:V130" si="15">SUMIF($B75:$B124,$B130,D$75:D$124)</f>
        <v>1023306.3028888889</v>
      </c>
      <c r="E130" s="81">
        <f t="shared" si="15"/>
        <v>1088211.1173088888</v>
      </c>
      <c r="F130" s="81">
        <f t="shared" si="15"/>
        <v>1093045.3480543112</v>
      </c>
      <c r="G130" s="81">
        <f t="shared" si="15"/>
        <v>1141793.3451338001</v>
      </c>
      <c r="H130" s="81">
        <f t="shared" si="15"/>
        <v>1166085.5702905802</v>
      </c>
      <c r="I130" s="81">
        <f t="shared" si="15"/>
        <v>1199136.9351822447</v>
      </c>
      <c r="J130" s="81">
        <f t="shared" si="15"/>
        <v>1231290.6561870479</v>
      </c>
      <c r="K130" s="81">
        <f t="shared" si="15"/>
        <v>1246767.4478971949</v>
      </c>
      <c r="L130" s="81">
        <f t="shared" si="15"/>
        <v>1262397.4751688279</v>
      </c>
      <c r="M130" s="81">
        <f t="shared" si="15"/>
        <v>1286311.4168944268</v>
      </c>
      <c r="N130" s="81">
        <f t="shared" si="15"/>
        <v>1310703.6374545374</v>
      </c>
      <c r="O130" s="81">
        <f t="shared" si="15"/>
        <v>1335583.7024258506</v>
      </c>
      <c r="P130" s="81">
        <f t="shared" si="15"/>
        <v>1360961.3686965897</v>
      </c>
      <c r="Q130" s="81">
        <f t="shared" si="15"/>
        <v>1386846.5882927438</v>
      </c>
      <c r="R130" s="81">
        <f t="shared" si="15"/>
        <v>1413249.5122808206</v>
      </c>
      <c r="S130" s="81">
        <f t="shared" si="15"/>
        <v>1440180.4947486594</v>
      </c>
      <c r="T130" s="81">
        <f t="shared" si="15"/>
        <v>1467650.0968658549</v>
      </c>
      <c r="U130" s="81">
        <f t="shared" si="15"/>
        <v>1495669.0910253942</v>
      </c>
      <c r="V130" s="81">
        <f t="shared" si="15"/>
        <v>1524248.4650681242</v>
      </c>
    </row>
    <row r="131" spans="2:22" x14ac:dyDescent="0.25">
      <c r="B131" s="36" t="s">
        <v>40</v>
      </c>
      <c r="C131" s="81">
        <f>SUMIF($B75:$B124,$B131,C$75:C$124)</f>
        <v>6856.4285714285716</v>
      </c>
      <c r="D131" s="81">
        <f t="shared" ref="D131:V131" si="16">SUMIF($B75:$B124,$B131,D$75:D$124)</f>
        <v>6610.5428571428574</v>
      </c>
      <c r="E131" s="81">
        <f t="shared" si="16"/>
        <v>9101.2705714285712</v>
      </c>
      <c r="F131" s="81">
        <f t="shared" si="16"/>
        <v>9032.3960914285708</v>
      </c>
      <c r="G131" s="81">
        <f t="shared" si="16"/>
        <v>8957.1261240000003</v>
      </c>
      <c r="H131" s="81">
        <f t="shared" si="16"/>
        <v>8875.2323994377148</v>
      </c>
      <c r="I131" s="81">
        <f t="shared" si="16"/>
        <v>8786.4800754433381</v>
      </c>
      <c r="J131" s="81">
        <f t="shared" si="16"/>
        <v>8690.6275655294085</v>
      </c>
      <c r="K131" s="81">
        <f t="shared" si="16"/>
        <v>8587.4263631887479</v>
      </c>
      <c r="L131" s="81">
        <f t="shared" si="16"/>
        <v>8476.6208617282482</v>
      </c>
      <c r="M131" s="81">
        <f t="shared" si="16"/>
        <v>8646.1532789628127</v>
      </c>
      <c r="N131" s="81">
        <f t="shared" si="16"/>
        <v>8819.0763445420671</v>
      </c>
      <c r="O131" s="81">
        <f t="shared" si="16"/>
        <v>8995.4578714329109</v>
      </c>
      <c r="P131" s="81">
        <f t="shared" si="16"/>
        <v>9175.3670288615685</v>
      </c>
      <c r="Q131" s="81">
        <f t="shared" si="16"/>
        <v>9358.8743694388013</v>
      </c>
      <c r="R131" s="81">
        <f t="shared" si="16"/>
        <v>9546.0518568275747</v>
      </c>
      <c r="S131" s="81">
        <f t="shared" si="16"/>
        <v>9736.9728939641263</v>
      </c>
      <c r="T131" s="81">
        <f t="shared" si="16"/>
        <v>9931.7123518434109</v>
      </c>
      <c r="U131" s="81">
        <f t="shared" si="16"/>
        <v>10130.346598880278</v>
      </c>
      <c r="V131" s="81">
        <f t="shared" si="16"/>
        <v>10332.953530857883</v>
      </c>
    </row>
    <row r="132" spans="2:22" x14ac:dyDescent="0.25">
      <c r="B132" s="36" t="s">
        <v>80</v>
      </c>
      <c r="C132" s="81">
        <f>SUMIF($B75:$B124,$B132,C$75:C$124)</f>
        <v>0</v>
      </c>
      <c r="D132" s="81">
        <f t="shared" ref="D132:V132" si="17">SUMIF($B75:$B124,$B132,D$75:D$124)</f>
        <v>0</v>
      </c>
      <c r="E132" s="81">
        <f t="shared" si="17"/>
        <v>0</v>
      </c>
      <c r="F132" s="81">
        <f t="shared" si="17"/>
        <v>0</v>
      </c>
      <c r="G132" s="81">
        <f t="shared" si="17"/>
        <v>0</v>
      </c>
      <c r="H132" s="81">
        <f t="shared" si="17"/>
        <v>0</v>
      </c>
      <c r="I132" s="81">
        <f t="shared" si="17"/>
        <v>0</v>
      </c>
      <c r="J132" s="81">
        <f t="shared" si="17"/>
        <v>0</v>
      </c>
      <c r="K132" s="81">
        <f t="shared" si="17"/>
        <v>0</v>
      </c>
      <c r="L132" s="81">
        <f t="shared" si="17"/>
        <v>0</v>
      </c>
      <c r="M132" s="81">
        <f t="shared" si="17"/>
        <v>0</v>
      </c>
      <c r="N132" s="81">
        <f t="shared" si="17"/>
        <v>0</v>
      </c>
      <c r="O132" s="81">
        <f t="shared" si="17"/>
        <v>0</v>
      </c>
      <c r="P132" s="81">
        <f t="shared" si="17"/>
        <v>0</v>
      </c>
      <c r="Q132" s="81">
        <f t="shared" si="17"/>
        <v>0</v>
      </c>
      <c r="R132" s="81">
        <f t="shared" si="17"/>
        <v>0</v>
      </c>
      <c r="S132" s="81">
        <f t="shared" si="17"/>
        <v>0</v>
      </c>
      <c r="T132" s="81">
        <f t="shared" si="17"/>
        <v>0</v>
      </c>
      <c r="U132" s="81">
        <f t="shared" si="17"/>
        <v>0</v>
      </c>
      <c r="V132" s="81">
        <f t="shared" si="17"/>
        <v>0</v>
      </c>
    </row>
    <row r="133" spans="2:22" x14ac:dyDescent="0.25">
      <c r="B133" s="36" t="s">
        <v>44</v>
      </c>
      <c r="C133" s="81">
        <f>SUMIF($B75:$B124,$B133,C$75:C$124)</f>
        <v>414.45</v>
      </c>
      <c r="D133" s="81">
        <f t="shared" ref="D133:V133" si="18">SUMIF($B75:$B124,$B133,D$75:D$124)</f>
        <v>366.55799999999999</v>
      </c>
      <c r="E133" s="81">
        <f t="shared" si="18"/>
        <v>316.76873999999998</v>
      </c>
      <c r="F133" s="81">
        <f t="shared" si="18"/>
        <v>265.02548639999998</v>
      </c>
      <c r="G133" s="81">
        <f t="shared" si="18"/>
        <v>249.23000483999999</v>
      </c>
      <c r="H133" s="81">
        <f t="shared" si="18"/>
        <v>203.37168394944001</v>
      </c>
      <c r="I133" s="81">
        <f t="shared" si="18"/>
        <v>155.57933822132165</v>
      </c>
      <c r="J133" s="81">
        <f t="shared" si="18"/>
        <v>105.79394999049872</v>
      </c>
      <c r="K133" s="81">
        <f t="shared" si="18"/>
        <v>53.954914495154377</v>
      </c>
      <c r="L133" s="81">
        <f t="shared" si="18"/>
        <v>0</v>
      </c>
      <c r="M133" s="81">
        <f t="shared" si="18"/>
        <v>0</v>
      </c>
      <c r="N133" s="81">
        <f t="shared" si="18"/>
        <v>0</v>
      </c>
      <c r="O133" s="81">
        <f t="shared" si="18"/>
        <v>0</v>
      </c>
      <c r="P133" s="81">
        <f t="shared" si="18"/>
        <v>0</v>
      </c>
      <c r="Q133" s="81">
        <f t="shared" si="18"/>
        <v>0</v>
      </c>
      <c r="R133" s="81">
        <f t="shared" si="18"/>
        <v>0</v>
      </c>
      <c r="S133" s="81">
        <f t="shared" si="18"/>
        <v>0</v>
      </c>
      <c r="T133" s="81">
        <f t="shared" si="18"/>
        <v>0</v>
      </c>
      <c r="U133" s="81">
        <f t="shared" si="18"/>
        <v>0</v>
      </c>
      <c r="V133" s="81">
        <f t="shared" si="18"/>
        <v>0</v>
      </c>
    </row>
    <row r="134" spans="2:22" x14ac:dyDescent="0.25">
      <c r="B134" s="36" t="s">
        <v>81</v>
      </c>
      <c r="C134" s="81">
        <f>SUMIF($B75:$B124,$B134,C$75:C$124)</f>
        <v>0</v>
      </c>
      <c r="D134" s="81">
        <f t="shared" ref="D134:V134" si="19">SUMIF($B75:$B124,$B134,D$75:D$124)</f>
        <v>0</v>
      </c>
      <c r="E134" s="81">
        <f t="shared" si="19"/>
        <v>0</v>
      </c>
      <c r="F134" s="81">
        <f t="shared" si="19"/>
        <v>0</v>
      </c>
      <c r="G134" s="81">
        <f t="shared" si="19"/>
        <v>0</v>
      </c>
      <c r="H134" s="81">
        <f t="shared" si="19"/>
        <v>0</v>
      </c>
      <c r="I134" s="81">
        <f t="shared" si="19"/>
        <v>0</v>
      </c>
      <c r="J134" s="81">
        <f t="shared" si="19"/>
        <v>0</v>
      </c>
      <c r="K134" s="81">
        <f t="shared" si="19"/>
        <v>0</v>
      </c>
      <c r="L134" s="81">
        <f t="shared" si="19"/>
        <v>0</v>
      </c>
      <c r="M134" s="81">
        <f t="shared" si="19"/>
        <v>0</v>
      </c>
      <c r="N134" s="81">
        <f t="shared" si="19"/>
        <v>0</v>
      </c>
      <c r="O134" s="81">
        <f t="shared" si="19"/>
        <v>0</v>
      </c>
      <c r="P134" s="81">
        <f t="shared" si="19"/>
        <v>0</v>
      </c>
      <c r="Q134" s="81">
        <f t="shared" si="19"/>
        <v>0</v>
      </c>
      <c r="R134" s="81">
        <f t="shared" si="19"/>
        <v>0</v>
      </c>
      <c r="S134" s="81">
        <f t="shared" si="19"/>
        <v>0</v>
      </c>
      <c r="T134" s="81">
        <f t="shared" si="19"/>
        <v>0</v>
      </c>
      <c r="U134" s="81">
        <f t="shared" si="19"/>
        <v>0</v>
      </c>
      <c r="V134" s="81">
        <f t="shared" si="19"/>
        <v>0</v>
      </c>
    </row>
    <row r="135" spans="2:22" x14ac:dyDescent="0.25">
      <c r="B135" s="36" t="s">
        <v>42</v>
      </c>
      <c r="C135" s="81">
        <f>SUMIF($B75:$B124,$B135,C$75:C$124)</f>
        <v>6882</v>
      </c>
      <c r="D135" s="81">
        <f t="shared" ref="D135:V135" si="20">SUMIF($B75:$B124,$B135,D$75:D$124)</f>
        <v>6882</v>
      </c>
      <c r="E135" s="81">
        <f t="shared" si="20"/>
        <v>6882</v>
      </c>
      <c r="F135" s="81">
        <f t="shared" si="20"/>
        <v>6882</v>
      </c>
      <c r="G135" s="81">
        <f t="shared" si="20"/>
        <v>4588</v>
      </c>
      <c r="H135" s="81">
        <f t="shared" si="20"/>
        <v>4588</v>
      </c>
      <c r="I135" s="81">
        <f t="shared" si="20"/>
        <v>4588</v>
      </c>
      <c r="J135" s="81">
        <f t="shared" si="20"/>
        <v>4588</v>
      </c>
      <c r="K135" s="81">
        <f t="shared" si="20"/>
        <v>4588</v>
      </c>
      <c r="L135" s="81">
        <f t="shared" si="20"/>
        <v>4588</v>
      </c>
      <c r="M135" s="81">
        <f t="shared" si="20"/>
        <v>4588</v>
      </c>
      <c r="N135" s="81">
        <f t="shared" si="20"/>
        <v>4588</v>
      </c>
      <c r="O135" s="81">
        <f t="shared" si="20"/>
        <v>4588</v>
      </c>
      <c r="P135" s="81">
        <f t="shared" si="20"/>
        <v>4588</v>
      </c>
      <c r="Q135" s="81">
        <f t="shared" si="20"/>
        <v>4588</v>
      </c>
      <c r="R135" s="81">
        <f t="shared" si="20"/>
        <v>4588</v>
      </c>
      <c r="S135" s="81">
        <f t="shared" si="20"/>
        <v>4588</v>
      </c>
      <c r="T135" s="81">
        <f t="shared" si="20"/>
        <v>4588</v>
      </c>
      <c r="U135" s="81">
        <f t="shared" si="20"/>
        <v>4588</v>
      </c>
      <c r="V135" s="81">
        <f t="shared" si="20"/>
        <v>4588</v>
      </c>
    </row>
    <row r="136" spans="2:22" ht="14.4" thickBot="1" x14ac:dyDescent="0.3">
      <c r="B136" s="42" t="s">
        <v>45</v>
      </c>
      <c r="C136" s="81">
        <f>SUMIF($B75:$B124,$B136,C$75:C$124)</f>
        <v>91096.2</v>
      </c>
      <c r="D136" s="81">
        <f>SUMIF($B75:$B124,$B136,D$75:D$124)</f>
        <v>81244.314666666673</v>
      </c>
      <c r="E136" s="81">
        <f>SUMIF($B75:$B124,$B136,E$75:E$124)</f>
        <v>70988.906906666671</v>
      </c>
      <c r="F136" s="81">
        <f t="shared" ref="F136:V136" si="21">SUMIF($B75:$B124,$B136,F$75:F$124)</f>
        <v>60317.776577066674</v>
      </c>
      <c r="G136" s="81">
        <f t="shared" si="21"/>
        <v>49218.39693818667</v>
      </c>
      <c r="H136" s="81">
        <f t="shared" si="21"/>
        <v>41189.523382553176</v>
      </c>
      <c r="I136" s="81">
        <f t="shared" si="21"/>
        <v>29939.736408231212</v>
      </c>
      <c r="J136" s="81">
        <f t="shared" si="21"/>
        <v>18236.977878916696</v>
      </c>
      <c r="K136" s="81">
        <f t="shared" si="21"/>
        <v>6067.6288471996377</v>
      </c>
      <c r="L136" s="81">
        <f t="shared" si="21"/>
        <v>-6582.2932036043348</v>
      </c>
      <c r="M136" s="81">
        <f t="shared" si="21"/>
        <v>-7388.7257343430902</v>
      </c>
      <c r="N136" s="81">
        <f t="shared" si="21"/>
        <v>-8211.2869156966117</v>
      </c>
      <c r="O136" s="81">
        <f t="shared" si="21"/>
        <v>-9050.2993206772153</v>
      </c>
      <c r="P136" s="81">
        <f t="shared" si="21"/>
        <v>-9906.0919737574295</v>
      </c>
      <c r="Q136" s="81">
        <f t="shared" si="21"/>
        <v>-10779.000479899245</v>
      </c>
      <c r="R136" s="81">
        <f t="shared" si="21"/>
        <v>-11669.367156163884</v>
      </c>
      <c r="S136" s="81">
        <f t="shared" si="21"/>
        <v>-12577.541165953837</v>
      </c>
      <c r="T136" s="81">
        <f t="shared" si="21"/>
        <v>-13503.878655939581</v>
      </c>
      <c r="U136" s="81">
        <f t="shared" si="21"/>
        <v>-14448.742895725038</v>
      </c>
      <c r="V136" s="81">
        <f t="shared" si="21"/>
        <v>-15412.504420306206</v>
      </c>
    </row>
    <row r="137" spans="2:22" x14ac:dyDescent="0.25">
      <c r="C137" s="26"/>
      <c r="D137" s="26"/>
      <c r="E137" s="26"/>
      <c r="F137" s="26"/>
      <c r="G137" s="26"/>
      <c r="H137" s="26"/>
      <c r="I137" s="26"/>
      <c r="J137" s="26"/>
      <c r="K137" s="26"/>
      <c r="L137" s="27"/>
      <c r="M137" s="26"/>
      <c r="N137" s="26"/>
      <c r="O137" s="26"/>
      <c r="P137" s="26"/>
      <c r="Q137" s="26"/>
      <c r="R137" s="26"/>
      <c r="S137" s="26"/>
      <c r="T137" s="26"/>
      <c r="U137" s="26"/>
      <c r="V137" s="26"/>
    </row>
    <row r="138" spans="2:22" x14ac:dyDescent="0.25">
      <c r="C138" s="26">
        <f>SUM(C129:C136)</f>
        <v>1601601.0952380951</v>
      </c>
      <c r="D138" s="26">
        <f t="shared" ref="D138:U138" si="22">SUM(D129:D136)</f>
        <v>1460749.1384126982</v>
      </c>
      <c r="E138" s="26">
        <f t="shared" si="22"/>
        <v>1455735.8961269842</v>
      </c>
      <c r="F138" s="26">
        <f t="shared" si="22"/>
        <v>1385237.5185452064</v>
      </c>
      <c r="G138" s="26">
        <f t="shared" si="22"/>
        <v>1353450.2879292266</v>
      </c>
      <c r="H138" s="26">
        <f t="shared" si="22"/>
        <v>1299950.601984082</v>
      </c>
      <c r="I138" s="26">
        <f t="shared" si="22"/>
        <v>1249319.287034939</v>
      </c>
      <c r="J138" s="26">
        <f t="shared" si="22"/>
        <v>1194588.6123259582</v>
      </c>
      <c r="K138" s="26">
        <f t="shared" si="22"/>
        <v>1119884.6968863618</v>
      </c>
      <c r="L138" s="27">
        <f t="shared" si="22"/>
        <v>1041940.6068731396</v>
      </c>
      <c r="M138" s="26">
        <f t="shared" si="22"/>
        <v>1216683.2645153133</v>
      </c>
      <c r="N138" s="26">
        <f t="shared" si="22"/>
        <v>1232023.6353611751</v>
      </c>
      <c r="O138" s="26">
        <f t="shared" si="22"/>
        <v>1247670.8136239543</v>
      </c>
      <c r="P138" s="26">
        <f t="shared" si="22"/>
        <v>1263630.9354519888</v>
      </c>
      <c r="Q138" s="26">
        <f t="shared" si="22"/>
        <v>1279910.2597165841</v>
      </c>
      <c r="R138" s="26">
        <f t="shared" si="22"/>
        <v>1296515.1704664717</v>
      </c>
      <c r="S138" s="26">
        <f t="shared" si="22"/>
        <v>1313452.1794313565</v>
      </c>
      <c r="T138" s="26">
        <f t="shared" si="22"/>
        <v>1330727.9285755393</v>
      </c>
      <c r="U138" s="26">
        <f t="shared" si="22"/>
        <v>1348349.1927026056</v>
      </c>
      <c r="V138" s="26">
        <f>SUM(V129:V136)</f>
        <v>1366322.8821122129</v>
      </c>
    </row>
    <row r="139" spans="2:22" x14ac:dyDescent="0.25">
      <c r="C139" s="26"/>
      <c r="D139" s="26"/>
      <c r="E139" s="26"/>
      <c r="F139" s="26"/>
      <c r="G139" s="26"/>
      <c r="H139" s="26"/>
      <c r="I139" s="26"/>
      <c r="J139" s="26"/>
      <c r="K139" s="26"/>
      <c r="L139" s="27"/>
      <c r="M139" s="2"/>
      <c r="N139" s="26"/>
      <c r="O139" s="26"/>
      <c r="P139" s="26"/>
      <c r="Q139" s="26"/>
      <c r="R139" s="26"/>
      <c r="S139" s="26"/>
      <c r="T139" s="26"/>
      <c r="U139" s="26"/>
      <c r="V139" s="26"/>
    </row>
    <row r="140" spans="2:22" ht="14.4" thickBot="1" x14ac:dyDescent="0.3">
      <c r="B140" s="2" t="s">
        <v>76</v>
      </c>
      <c r="C140" s="26"/>
      <c r="D140" s="26"/>
      <c r="E140" s="26"/>
      <c r="F140" s="26"/>
      <c r="G140" s="26"/>
      <c r="H140" s="26"/>
      <c r="I140" s="26"/>
      <c r="J140" s="26"/>
      <c r="K140" s="26"/>
      <c r="L140" s="27"/>
      <c r="M140" s="2"/>
      <c r="N140" s="26"/>
      <c r="O140" s="26"/>
      <c r="P140" s="26"/>
      <c r="Q140" s="26"/>
      <c r="R140" s="26"/>
      <c r="S140" s="26"/>
      <c r="T140" s="26"/>
      <c r="U140" s="26"/>
      <c r="V140" s="26"/>
    </row>
    <row r="141" spans="2:22" x14ac:dyDescent="0.25">
      <c r="B141" s="57" t="s">
        <v>82</v>
      </c>
      <c r="C141" s="78">
        <v>2021</v>
      </c>
      <c r="D141" s="78">
        <v>2022</v>
      </c>
      <c r="E141" s="78">
        <v>2023</v>
      </c>
      <c r="F141" s="78">
        <v>2024</v>
      </c>
      <c r="G141" s="78">
        <v>2025</v>
      </c>
      <c r="H141" s="78">
        <v>2026</v>
      </c>
      <c r="I141" s="78">
        <v>2027</v>
      </c>
      <c r="J141" s="78">
        <v>2028</v>
      </c>
      <c r="K141" s="78">
        <v>2029</v>
      </c>
      <c r="L141" s="78">
        <v>2030</v>
      </c>
      <c r="M141" s="78">
        <v>2031</v>
      </c>
      <c r="N141" s="78">
        <v>2032</v>
      </c>
      <c r="O141" s="78">
        <v>2033</v>
      </c>
      <c r="P141" s="78">
        <v>2034</v>
      </c>
      <c r="Q141" s="78">
        <v>2035</v>
      </c>
      <c r="R141" s="78">
        <v>2036</v>
      </c>
      <c r="S141" s="78">
        <v>2037</v>
      </c>
      <c r="T141" s="78">
        <v>2038</v>
      </c>
      <c r="U141" s="78">
        <v>2039</v>
      </c>
      <c r="V141" s="78">
        <v>2040</v>
      </c>
    </row>
    <row r="142" spans="2:22" x14ac:dyDescent="0.25">
      <c r="B142" s="36" t="s">
        <v>95</v>
      </c>
      <c r="C142" s="28">
        <f>SUM(C75:C116)</f>
        <v>1676114.912698413</v>
      </c>
      <c r="D142" s="28">
        <f t="shared" ref="D142:V142" si="23">SUM(D75:D116)</f>
        <v>1442274.4126984125</v>
      </c>
      <c r="E142" s="28">
        <f t="shared" si="23"/>
        <v>1435181.5555555555</v>
      </c>
      <c r="F142" s="28">
        <f t="shared" si="23"/>
        <v>1301780.7777777778</v>
      </c>
      <c r="G142" s="28">
        <f t="shared" si="23"/>
        <v>1131886.1666666667</v>
      </c>
      <c r="H142" s="28">
        <f t="shared" si="23"/>
        <v>898045.66666666674</v>
      </c>
      <c r="I142" s="28">
        <f t="shared" si="23"/>
        <v>697944.49999999988</v>
      </c>
      <c r="J142" s="28">
        <f t="shared" si="23"/>
        <v>564543.72222222225</v>
      </c>
      <c r="K142" s="28">
        <f t="shared" si="23"/>
        <v>564543.72222222225</v>
      </c>
      <c r="L142" s="28">
        <f t="shared" si="23"/>
        <v>564543.72222222225</v>
      </c>
      <c r="M142" s="28">
        <f t="shared" si="23"/>
        <v>449664.72222222225</v>
      </c>
      <c r="N142" s="28">
        <f t="shared" si="23"/>
        <v>449664.72222222225</v>
      </c>
      <c r="O142" s="28">
        <f t="shared" si="23"/>
        <v>449664.72222222225</v>
      </c>
      <c r="P142" s="28">
        <f t="shared" si="23"/>
        <v>449664.72222222225</v>
      </c>
      <c r="Q142" s="28">
        <f t="shared" si="23"/>
        <v>449664.72222222225</v>
      </c>
      <c r="R142" s="28">
        <f t="shared" si="23"/>
        <v>449664.72222222225</v>
      </c>
      <c r="S142" s="28">
        <f t="shared" si="23"/>
        <v>449664.72222222225</v>
      </c>
      <c r="T142" s="28">
        <f t="shared" si="23"/>
        <v>449664.72222222225</v>
      </c>
      <c r="U142" s="28">
        <f t="shared" si="23"/>
        <v>449664.72222222225</v>
      </c>
      <c r="V142" s="28">
        <f t="shared" si="23"/>
        <v>449664.72222222225</v>
      </c>
    </row>
    <row r="143" spans="2:22" x14ac:dyDescent="0.25">
      <c r="B143" s="36" t="s">
        <v>96</v>
      </c>
      <c r="C143" s="28">
        <f>SUM(C117:C124)</f>
        <v>-74513.81746031747</v>
      </c>
      <c r="D143" s="28">
        <f t="shared" ref="D143:V143" si="24">SUM(D117:D124)</f>
        <v>18474.725714285734</v>
      </c>
      <c r="E143" s="28">
        <f t="shared" si="24"/>
        <v>20554.340571428595</v>
      </c>
      <c r="F143" s="28">
        <f t="shared" si="24"/>
        <v>83456.740767428579</v>
      </c>
      <c r="G143" s="28">
        <f t="shared" si="24"/>
        <v>221564.1212625601</v>
      </c>
      <c r="H143" s="28">
        <f t="shared" si="24"/>
        <v>401904.93531741534</v>
      </c>
      <c r="I143" s="28">
        <f t="shared" si="24"/>
        <v>551374.78703493881</v>
      </c>
      <c r="J143" s="28">
        <f t="shared" si="24"/>
        <v>630044.89010373584</v>
      </c>
      <c r="K143" s="28">
        <f t="shared" si="24"/>
        <v>555340.97466413944</v>
      </c>
      <c r="L143" s="28">
        <f t="shared" si="24"/>
        <v>477396.88465091732</v>
      </c>
      <c r="M143" s="28">
        <f t="shared" si="24"/>
        <v>767018.54229309107</v>
      </c>
      <c r="N143" s="28">
        <f t="shared" si="24"/>
        <v>782358.91313895292</v>
      </c>
      <c r="O143" s="28">
        <f t="shared" si="24"/>
        <v>798006.09140173206</v>
      </c>
      <c r="P143" s="28">
        <f t="shared" si="24"/>
        <v>813966.21322976658</v>
      </c>
      <c r="Q143" s="28">
        <f t="shared" si="24"/>
        <v>830245.53749436198</v>
      </c>
      <c r="R143" s="28">
        <f t="shared" si="24"/>
        <v>846850.44824424922</v>
      </c>
      <c r="S143" s="28">
        <f t="shared" si="24"/>
        <v>863787.45720913413</v>
      </c>
      <c r="T143" s="28">
        <f t="shared" si="24"/>
        <v>881063.20635331678</v>
      </c>
      <c r="U143" s="28">
        <f t="shared" si="24"/>
        <v>898684.47048038314</v>
      </c>
      <c r="V143" s="28">
        <f t="shared" si="24"/>
        <v>916658.15988999081</v>
      </c>
    </row>
    <row r="144" spans="2:22" x14ac:dyDescent="0.25">
      <c r="C144" s="2"/>
      <c r="D144" s="2"/>
      <c r="E144" s="2"/>
      <c r="F144" s="2"/>
      <c r="G144" s="2"/>
      <c r="H144" s="2"/>
      <c r="I144" s="2"/>
      <c r="J144" s="2"/>
      <c r="K144" s="2"/>
      <c r="L144" s="2"/>
      <c r="M144" s="2"/>
      <c r="N144" s="2"/>
      <c r="O144" s="2"/>
      <c r="P144" s="2"/>
      <c r="Q144" s="2"/>
      <c r="R144" s="2"/>
      <c r="S144" s="2"/>
      <c r="T144" s="2"/>
      <c r="U144" s="2"/>
      <c r="V144" s="2"/>
    </row>
    <row r="145" spans="1:22" x14ac:dyDescent="0.25">
      <c r="C145" s="25">
        <f>SUM(C142:C143)</f>
        <v>1601601.0952380956</v>
      </c>
      <c r="D145" s="25">
        <f t="shared" ref="D145:V145" si="25">SUM(D142:D143)</f>
        <v>1460749.1384126982</v>
      </c>
      <c r="E145" s="25">
        <f t="shared" si="25"/>
        <v>1455735.8961269842</v>
      </c>
      <c r="F145" s="25">
        <f t="shared" si="25"/>
        <v>1385237.5185452064</v>
      </c>
      <c r="G145" s="25">
        <f t="shared" si="25"/>
        <v>1353450.2879292269</v>
      </c>
      <c r="H145" s="25">
        <f t="shared" si="25"/>
        <v>1299950.601984082</v>
      </c>
      <c r="I145" s="25">
        <f t="shared" si="25"/>
        <v>1249319.2870349386</v>
      </c>
      <c r="J145" s="25">
        <f t="shared" si="25"/>
        <v>1194588.612325958</v>
      </c>
      <c r="K145" s="25">
        <f t="shared" si="25"/>
        <v>1119884.6968863616</v>
      </c>
      <c r="L145" s="25">
        <f t="shared" si="25"/>
        <v>1041940.6068731395</v>
      </c>
      <c r="M145" s="25">
        <f t="shared" si="25"/>
        <v>1216683.2645153133</v>
      </c>
      <c r="N145" s="25">
        <f t="shared" si="25"/>
        <v>1232023.6353611751</v>
      </c>
      <c r="O145" s="25">
        <f t="shared" si="25"/>
        <v>1247670.8136239543</v>
      </c>
      <c r="P145" s="25">
        <f t="shared" si="25"/>
        <v>1263630.9354519888</v>
      </c>
      <c r="Q145" s="25">
        <f t="shared" si="25"/>
        <v>1279910.2597165843</v>
      </c>
      <c r="R145" s="25">
        <f t="shared" si="25"/>
        <v>1296515.1704664715</v>
      </c>
      <c r="S145" s="25">
        <f t="shared" si="25"/>
        <v>1313452.1794313565</v>
      </c>
      <c r="T145" s="25">
        <f t="shared" si="25"/>
        <v>1330727.928575539</v>
      </c>
      <c r="U145" s="25">
        <f t="shared" si="25"/>
        <v>1348349.1927026054</v>
      </c>
      <c r="V145" s="25">
        <f t="shared" si="25"/>
        <v>1366322.8821122129</v>
      </c>
    </row>
    <row r="147" spans="1:22" x14ac:dyDescent="0.25">
      <c r="A147" s="79" t="s">
        <v>16</v>
      </c>
      <c r="B147" s="79" t="s">
        <v>82</v>
      </c>
      <c r="C147" s="78">
        <v>2021</v>
      </c>
      <c r="D147" s="79">
        <v>2022</v>
      </c>
      <c r="E147" s="78">
        <v>2023</v>
      </c>
      <c r="F147" s="79">
        <v>2024</v>
      </c>
      <c r="G147" s="78">
        <v>2025</v>
      </c>
      <c r="H147" s="79">
        <v>2026</v>
      </c>
      <c r="I147" s="78">
        <v>2027</v>
      </c>
      <c r="J147" s="79">
        <v>2028</v>
      </c>
      <c r="K147" s="78">
        <v>2029</v>
      </c>
      <c r="L147" s="79">
        <v>2030</v>
      </c>
      <c r="M147" s="78">
        <v>2031</v>
      </c>
      <c r="N147" s="79">
        <v>2032</v>
      </c>
      <c r="O147" s="78">
        <v>2033</v>
      </c>
      <c r="P147" s="79">
        <v>2034</v>
      </c>
      <c r="Q147" s="78">
        <v>2035</v>
      </c>
      <c r="R147" s="79">
        <v>2036</v>
      </c>
      <c r="S147" s="78">
        <v>2037</v>
      </c>
      <c r="T147" s="79">
        <v>2038</v>
      </c>
      <c r="U147" s="78">
        <v>2039</v>
      </c>
      <c r="V147" s="79">
        <v>2040</v>
      </c>
    </row>
    <row r="148" spans="1:22" x14ac:dyDescent="0.25">
      <c r="A148" s="32" t="s">
        <v>17</v>
      </c>
      <c r="B148" s="32" t="s">
        <v>41</v>
      </c>
      <c r="C148" s="108">
        <f>IFERROR(INDEX(lifespans_all!C$158:C$212,MATCH($A148,lifespans_all!$A$158:$A$212,0))*INDEX(SR_mission_minutes!C$2:C$43,MATCH($A148,SR_mission_minutes!$A$2:$A$43)),"-")</f>
        <v>66700.388888888891</v>
      </c>
      <c r="D148" s="108">
        <f>IFERROR(INDEX(lifespans_all!D$80:D$126,MATCH($A148,lifespans_all!$A$80:$A$126,0))*INDEX(SR_mission_minutes!D$2:D$43,MATCH($A148,SR_mission_minutes!$A$2:$A$43)),"-")</f>
        <v>66700.388888888891</v>
      </c>
      <c r="E148" s="108">
        <f>IFERROR(INDEX(lifespans_all!E$80:E$126,MATCH($A148,lifespans_all!$A$80:$A$126,0))*INDEX(SR_mission_minutes!E$2:E$43,MATCH($A148,SR_mission_minutes!$A$2:$A$43)),"-")</f>
        <v>66700.388888888891</v>
      </c>
      <c r="F148" s="108">
        <f>IFERROR(INDEX(lifespans_all!F$80:F$126,MATCH($A148,lifespans_all!$A$80:$A$126,0))*INDEX(SR_mission_minutes!F$2:F$43,MATCH($A148,SR_mission_minutes!$A$2:$A$43)),"-")</f>
        <v>66700.388888888891</v>
      </c>
      <c r="G148" s="108">
        <f>IFERROR(INDEX(lifespans_all!G$80:G$126,MATCH($A148,lifespans_all!$A$80:$A$126,0))*INDEX(SR_mission_minutes!G$2:G$43,MATCH($A148,SR_mission_minutes!$A$2:$A$43)),"-")</f>
        <v>0</v>
      </c>
      <c r="H148" s="108">
        <f>IFERROR(INDEX(lifespans_all!H$80:H$126,MATCH($A148,lifespans_all!$A$80:$A$126,0))*INDEX(SR_mission_minutes!H$2:H$43,MATCH($A148,SR_mission_minutes!$A$2:$A$43)),"-")</f>
        <v>0</v>
      </c>
      <c r="I148" s="108">
        <f>IFERROR(INDEX(lifespans_all!I$80:I$126,MATCH($A148,lifespans_all!$A$80:$A$126,0))*INDEX(SR_mission_minutes!I$2:I$43,MATCH($A148,SR_mission_minutes!$A$2:$A$43)),"-")</f>
        <v>0</v>
      </c>
      <c r="J148" s="108">
        <f>IFERROR(INDEX(lifespans_all!J$80:J$126,MATCH($A148,lifespans_all!$A$80:$A$126,0))*INDEX(SR_mission_minutes!J$2:J$43,MATCH($A148,SR_mission_minutes!$A$2:$A$43)),"-")</f>
        <v>0</v>
      </c>
      <c r="K148" s="108">
        <f>IFERROR(INDEX(lifespans_all!K$80:K$126,MATCH($A148,lifespans_all!$A$80:$A$126,0))*INDEX(SR_mission_minutes!K$2:K$43,MATCH($A148,SR_mission_minutes!$A$2:$A$43)),"-")</f>
        <v>0</v>
      </c>
      <c r="L148" s="108">
        <f>IFERROR(INDEX(lifespans_all!L$80:L$126,MATCH($A148,lifespans_all!$A$80:$A$126,0))*INDEX(SR_mission_minutes!L$2:L$43,MATCH($A148,SR_mission_minutes!$A$2:$A$43)),"-")</f>
        <v>0</v>
      </c>
      <c r="M148" s="108">
        <f>IFERROR(INDEX(lifespans_all!M$80:M$126,MATCH($A148,lifespans_all!$A$80:$A$126,0))*INDEX(SR_mission_minutes!M$2:M$43,MATCH($A148,SR_mission_minutes!$A$2:$A$43)),"-")</f>
        <v>0</v>
      </c>
      <c r="N148" s="108">
        <f>IFERROR(INDEX(lifespans_all!N$80:N$126,MATCH($A148,lifespans_all!$A$80:$A$126,0))*INDEX(SR_mission_minutes!N$2:N$43,MATCH($A148,SR_mission_minutes!$A$2:$A$43)),"-")</f>
        <v>0</v>
      </c>
      <c r="O148" s="108">
        <f>IFERROR(INDEX(lifespans_all!O$80:O$126,MATCH($A148,lifespans_all!$A$80:$A$126,0))*INDEX(SR_mission_minutes!O$2:O$43,MATCH($A148,SR_mission_minutes!$A$2:$A$43)),"-")</f>
        <v>0</v>
      </c>
      <c r="P148" s="108">
        <f>IFERROR(INDEX(lifespans_all!P$80:P$126,MATCH($A148,lifespans_all!$A$80:$A$126,0))*INDEX(SR_mission_minutes!P$2:P$43,MATCH($A148,SR_mission_minutes!$A$2:$A$43)),"-")</f>
        <v>0</v>
      </c>
      <c r="Q148" s="108">
        <f>IFERROR(INDEX(lifespans_all!Q$80:Q$126,MATCH($A148,lifespans_all!$A$80:$A$126,0))*INDEX(SR_mission_minutes!Q$2:Q$43,MATCH($A148,SR_mission_minutes!$A$2:$A$43)),"-")</f>
        <v>0</v>
      </c>
      <c r="R148" s="108">
        <f>IFERROR(INDEX(lifespans_all!R$80:R$126,MATCH($A148,lifespans_all!$A$80:$A$126,0))*INDEX(SR_mission_minutes!R$2:R$43,MATCH($A148,SR_mission_minutes!$A$2:$A$43)),"-")</f>
        <v>0</v>
      </c>
      <c r="S148" s="108">
        <f>IFERROR(INDEX(lifespans_all!S$80:S$126,MATCH($A148,lifespans_all!$A$80:$A$126,0))*INDEX(SR_mission_minutes!S$2:S$43,MATCH($A148,SR_mission_minutes!$A$2:$A$43)),"-")</f>
        <v>0</v>
      </c>
      <c r="T148" s="108">
        <f>IFERROR(INDEX(lifespans_all!T$80:T$126,MATCH($A148,lifespans_all!$A$80:$A$126,0))*INDEX(SR_mission_minutes!T$2:T$43,MATCH($A148,SR_mission_minutes!$A$2:$A$43)),"-")</f>
        <v>0</v>
      </c>
      <c r="U148" s="108">
        <f>IFERROR(INDEX(lifespans_all!U$80:U$126,MATCH($A148,lifespans_all!$A$80:$A$126,0))*INDEX(SR_mission_minutes!U$2:U$43,MATCH($A148,SR_mission_minutes!$A$2:$A$43)),"-")</f>
        <v>0</v>
      </c>
      <c r="V148" s="108">
        <f>IFERROR(INDEX(lifespans_all!V$80:V$126,MATCH($A148,lifespans_all!$A$80:$A$126,0))*INDEX(SR_mission_minutes!V$2:V$43,MATCH($A148,SR_mission_minutes!$A$2:$A$43)),"-")</f>
        <v>0</v>
      </c>
    </row>
    <row r="149" spans="1:22" x14ac:dyDescent="0.25">
      <c r="A149" s="32" t="s">
        <v>49</v>
      </c>
      <c r="B149" s="32" t="s">
        <v>41</v>
      </c>
      <c r="C149" s="108">
        <f>IFERROR(INDEX(lifespans_all!C$158:C$212,MATCH($A149,lifespans_all!$A$158:$A$212,0))*INDEX(SR_mission_minutes!C$2:C$43,MATCH($A149,SR_mission_minutes!$A$2:$A$43)),"-")</f>
        <v>66700.388888888891</v>
      </c>
      <c r="D149" s="108">
        <f>IFERROR(INDEX(lifespans_all!D$80:D$126,MATCH($A149,lifespans_all!$A$80:$A$126,0))*INDEX(SR_mission_minutes!D$2:D$43,MATCH($A149,SR_mission_minutes!$A$2:$A$43)),"-")</f>
        <v>66700.388888888891</v>
      </c>
      <c r="E149" s="108">
        <f>IFERROR(INDEX(lifespans_all!E$80:E$126,MATCH($A149,lifespans_all!$A$80:$A$126,0))*INDEX(SR_mission_minutes!E$2:E$43,MATCH($A149,SR_mission_minutes!$A$2:$A$43)),"-")</f>
        <v>66700.388888888891</v>
      </c>
      <c r="F149" s="108">
        <f>IFERROR(INDEX(lifespans_all!F$80:F$126,MATCH($A149,lifespans_all!$A$80:$A$126,0))*INDEX(SR_mission_minutes!F$2:F$43,MATCH($A149,SR_mission_minutes!$A$2:$A$43)),"-")</f>
        <v>66700.388888888891</v>
      </c>
      <c r="G149" s="108">
        <f>IFERROR(INDEX(lifespans_all!G$80:G$126,MATCH($A149,lifespans_all!$A$80:$A$126,0))*INDEX(SR_mission_minutes!G$2:G$43,MATCH($A149,SR_mission_minutes!$A$2:$A$43)),"-")</f>
        <v>66700.388888888891</v>
      </c>
      <c r="H149" s="108">
        <f>IFERROR(INDEX(lifespans_all!H$80:H$126,MATCH($A149,lifespans_all!$A$80:$A$126,0))*INDEX(SR_mission_minutes!H$2:H$43,MATCH($A149,SR_mission_minutes!$A$2:$A$43)),"-")</f>
        <v>66700.388888888891</v>
      </c>
      <c r="I149" s="108">
        <f>IFERROR(INDEX(lifespans_all!I$80:I$126,MATCH($A149,lifespans_all!$A$80:$A$126,0))*INDEX(SR_mission_minutes!I$2:I$43,MATCH($A149,SR_mission_minutes!$A$2:$A$43)),"-")</f>
        <v>0</v>
      </c>
      <c r="J149" s="108">
        <f>IFERROR(INDEX(lifespans_all!J$80:J$126,MATCH($A149,lifespans_all!$A$80:$A$126,0))*INDEX(SR_mission_minutes!J$2:J$43,MATCH($A149,SR_mission_minutes!$A$2:$A$43)),"-")</f>
        <v>0</v>
      </c>
      <c r="K149" s="108">
        <f>IFERROR(INDEX(lifespans_all!K$80:K$126,MATCH($A149,lifespans_all!$A$80:$A$126,0))*INDEX(SR_mission_minutes!K$2:K$43,MATCH($A149,SR_mission_minutes!$A$2:$A$43)),"-")</f>
        <v>0</v>
      </c>
      <c r="L149" s="108">
        <f>IFERROR(INDEX(lifespans_all!L$80:L$126,MATCH($A149,lifespans_all!$A$80:$A$126,0))*INDEX(SR_mission_minutes!L$2:L$43,MATCH($A149,SR_mission_minutes!$A$2:$A$43)),"-")</f>
        <v>0</v>
      </c>
      <c r="M149" s="108">
        <f>IFERROR(INDEX(lifespans_all!M$80:M$126,MATCH($A149,lifespans_all!$A$80:$A$126,0))*INDEX(SR_mission_minutes!M$2:M$43,MATCH($A149,SR_mission_minutes!$A$2:$A$43)),"-")</f>
        <v>0</v>
      </c>
      <c r="N149" s="108">
        <f>IFERROR(INDEX(lifespans_all!N$80:N$126,MATCH($A149,lifespans_all!$A$80:$A$126,0))*INDEX(SR_mission_minutes!N$2:N$43,MATCH($A149,SR_mission_minutes!$A$2:$A$43)),"-")</f>
        <v>0</v>
      </c>
      <c r="O149" s="108">
        <f>IFERROR(INDEX(lifespans_all!O$80:O$126,MATCH($A149,lifespans_all!$A$80:$A$126,0))*INDEX(SR_mission_minutes!O$2:O$43,MATCH($A149,SR_mission_minutes!$A$2:$A$43)),"-")</f>
        <v>0</v>
      </c>
      <c r="P149" s="108">
        <f>IFERROR(INDEX(lifespans_all!P$80:P$126,MATCH($A149,lifespans_all!$A$80:$A$126,0))*INDEX(SR_mission_minutes!P$2:P$43,MATCH($A149,SR_mission_minutes!$A$2:$A$43)),"-")</f>
        <v>0</v>
      </c>
      <c r="Q149" s="108">
        <f>IFERROR(INDEX(lifespans_all!Q$80:Q$126,MATCH($A149,lifespans_all!$A$80:$A$126,0))*INDEX(SR_mission_minutes!Q$2:Q$43,MATCH($A149,SR_mission_minutes!$A$2:$A$43)),"-")</f>
        <v>0</v>
      </c>
      <c r="R149" s="108">
        <f>IFERROR(INDEX(lifespans_all!R$80:R$126,MATCH($A149,lifespans_all!$A$80:$A$126,0))*INDEX(SR_mission_minutes!R$2:R$43,MATCH($A149,SR_mission_minutes!$A$2:$A$43)),"-")</f>
        <v>0</v>
      </c>
      <c r="S149" s="108">
        <f>IFERROR(INDEX(lifespans_all!S$80:S$126,MATCH($A149,lifespans_all!$A$80:$A$126,0))*INDEX(SR_mission_minutes!S$2:S$43,MATCH($A149,SR_mission_minutes!$A$2:$A$43)),"-")</f>
        <v>0</v>
      </c>
      <c r="T149" s="108">
        <f>IFERROR(INDEX(lifespans_all!T$80:T$126,MATCH($A149,lifespans_all!$A$80:$A$126,0))*INDEX(SR_mission_minutes!T$2:T$43,MATCH($A149,SR_mission_minutes!$A$2:$A$43)),"-")</f>
        <v>0</v>
      </c>
      <c r="U149" s="108">
        <f>IFERROR(INDEX(lifespans_all!U$80:U$126,MATCH($A149,lifespans_all!$A$80:$A$126,0))*INDEX(SR_mission_minutes!U$2:U$43,MATCH($A149,SR_mission_minutes!$A$2:$A$43)),"-")</f>
        <v>0</v>
      </c>
      <c r="V149" s="108">
        <f>IFERROR(INDEX(lifespans_all!V$80:V$126,MATCH($A149,lifespans_all!$A$80:$A$126,0))*INDEX(SR_mission_minutes!V$2:V$43,MATCH($A149,SR_mission_minutes!$A$2:$A$43)),"-")</f>
        <v>0</v>
      </c>
    </row>
    <row r="150" spans="1:22" x14ac:dyDescent="0.25">
      <c r="A150" s="32" t="s">
        <v>51</v>
      </c>
      <c r="B150" s="32" t="s">
        <v>42</v>
      </c>
      <c r="C150" s="108">
        <f>IFERROR(INDEX(lifespans_all!C$158:C$212,MATCH($A150,lifespans_all!$A$158:$A$212,0))*INDEX(SR_mission_minutes!C$2:C$43,MATCH($A150,SR_mission_minutes!$A$2:$A$43)),"-")</f>
        <v>2294</v>
      </c>
      <c r="D150" s="108">
        <f>IFERROR(INDEX(lifespans_all!D$80:D$126,MATCH($A150,lifespans_all!$A$80:$A$126,0))*INDEX(SR_mission_minutes!D$2:D$43,MATCH($A150,SR_mission_minutes!$A$2:$A$43)),"-")</f>
        <v>2294</v>
      </c>
      <c r="E150" s="108">
        <f>IFERROR(INDEX(lifespans_all!E$80:E$126,MATCH($A150,lifespans_all!$A$80:$A$126,0))*INDEX(SR_mission_minutes!E$2:E$43,MATCH($A150,SR_mission_minutes!$A$2:$A$43)),"-")</f>
        <v>2294</v>
      </c>
      <c r="F150" s="108">
        <f>IFERROR(INDEX(lifespans_all!F$80:F$126,MATCH($A150,lifespans_all!$A$80:$A$126,0))*INDEX(SR_mission_minutes!F$2:F$43,MATCH($A150,SR_mission_minutes!$A$2:$A$43)),"-")</f>
        <v>2294</v>
      </c>
      <c r="G150" s="108">
        <f>IFERROR(INDEX(lifespans_all!G$80:G$126,MATCH($A150,lifespans_all!$A$80:$A$126,0))*INDEX(SR_mission_minutes!G$2:G$43,MATCH($A150,SR_mission_minutes!$A$2:$A$43)),"-")</f>
        <v>0</v>
      </c>
      <c r="H150" s="108">
        <f>IFERROR(INDEX(lifespans_all!H$80:H$126,MATCH($A150,lifespans_all!$A$80:$A$126,0))*INDEX(SR_mission_minutes!H$2:H$43,MATCH($A150,SR_mission_minutes!$A$2:$A$43)),"-")</f>
        <v>0</v>
      </c>
      <c r="I150" s="108">
        <f>IFERROR(INDEX(lifespans_all!I$80:I$126,MATCH($A150,lifespans_all!$A$80:$A$126,0))*INDEX(SR_mission_minutes!I$2:I$43,MATCH($A150,SR_mission_minutes!$A$2:$A$43)),"-")</f>
        <v>0</v>
      </c>
      <c r="J150" s="108">
        <f>IFERROR(INDEX(lifespans_all!J$80:J$126,MATCH($A150,lifespans_all!$A$80:$A$126,0))*INDEX(SR_mission_minutes!J$2:J$43,MATCH($A150,SR_mission_minutes!$A$2:$A$43)),"-")</f>
        <v>0</v>
      </c>
      <c r="K150" s="108">
        <f>IFERROR(INDEX(lifespans_all!K$80:K$126,MATCH($A150,lifespans_all!$A$80:$A$126,0))*INDEX(SR_mission_minutes!K$2:K$43,MATCH($A150,SR_mission_minutes!$A$2:$A$43)),"-")</f>
        <v>0</v>
      </c>
      <c r="L150" s="108">
        <f>IFERROR(INDEX(lifespans_all!L$80:L$126,MATCH($A150,lifespans_all!$A$80:$A$126,0))*INDEX(SR_mission_minutes!L$2:L$43,MATCH($A150,SR_mission_minutes!$A$2:$A$43)),"-")</f>
        <v>0</v>
      </c>
      <c r="M150" s="108">
        <f>IFERROR(INDEX(lifespans_all!M$80:M$126,MATCH($A150,lifespans_all!$A$80:$A$126,0))*INDEX(SR_mission_minutes!M$2:M$43,MATCH($A150,SR_mission_minutes!$A$2:$A$43)),"-")</f>
        <v>0</v>
      </c>
      <c r="N150" s="108">
        <f>IFERROR(INDEX(lifespans_all!N$80:N$126,MATCH($A150,lifespans_all!$A$80:$A$126,0))*INDEX(SR_mission_minutes!N$2:N$43,MATCH($A150,SR_mission_minutes!$A$2:$A$43)),"-")</f>
        <v>0</v>
      </c>
      <c r="O150" s="108">
        <f>IFERROR(INDEX(lifespans_all!O$80:O$126,MATCH($A150,lifespans_all!$A$80:$A$126,0))*INDEX(SR_mission_minutes!O$2:O$43,MATCH($A150,SR_mission_minutes!$A$2:$A$43)),"-")</f>
        <v>0</v>
      </c>
      <c r="P150" s="108">
        <f>IFERROR(INDEX(lifespans_all!P$80:P$126,MATCH($A150,lifespans_all!$A$80:$A$126,0))*INDEX(SR_mission_minutes!P$2:P$43,MATCH($A150,SR_mission_minutes!$A$2:$A$43)),"-")</f>
        <v>0</v>
      </c>
      <c r="Q150" s="108">
        <f>IFERROR(INDEX(lifespans_all!Q$80:Q$126,MATCH($A150,lifespans_all!$A$80:$A$126,0))*INDEX(SR_mission_minutes!Q$2:Q$43,MATCH($A150,SR_mission_minutes!$A$2:$A$43)),"-")</f>
        <v>0</v>
      </c>
      <c r="R150" s="108">
        <f>IFERROR(INDEX(lifespans_all!R$80:R$126,MATCH($A150,lifespans_all!$A$80:$A$126,0))*INDEX(SR_mission_minutes!R$2:R$43,MATCH($A150,SR_mission_minutes!$A$2:$A$43)),"-")</f>
        <v>0</v>
      </c>
      <c r="S150" s="108">
        <f>IFERROR(INDEX(lifespans_all!S$80:S$126,MATCH($A150,lifespans_all!$A$80:$A$126,0))*INDEX(SR_mission_minutes!S$2:S$43,MATCH($A150,SR_mission_minutes!$A$2:$A$43)),"-")</f>
        <v>0</v>
      </c>
      <c r="T150" s="108">
        <f>IFERROR(INDEX(lifespans_all!T$80:T$126,MATCH($A150,lifespans_all!$A$80:$A$126,0))*INDEX(SR_mission_minutes!T$2:T$43,MATCH($A150,SR_mission_minutes!$A$2:$A$43)),"-")</f>
        <v>0</v>
      </c>
      <c r="U150" s="108">
        <f>IFERROR(INDEX(lifespans_all!U$80:U$126,MATCH($A150,lifespans_all!$A$80:$A$126,0))*INDEX(SR_mission_minutes!U$2:U$43,MATCH($A150,SR_mission_minutes!$A$2:$A$43)),"-")</f>
        <v>0</v>
      </c>
      <c r="V150" s="108">
        <f>IFERROR(INDEX(lifespans_all!V$80:V$126,MATCH($A150,lifespans_all!$A$80:$A$126,0))*INDEX(SR_mission_minutes!V$2:V$43,MATCH($A150,SR_mission_minutes!$A$2:$A$43)),"-")</f>
        <v>0</v>
      </c>
    </row>
    <row r="151" spans="1:22" x14ac:dyDescent="0.25">
      <c r="A151" s="32" t="s">
        <v>52</v>
      </c>
      <c r="B151" s="32" t="s">
        <v>41</v>
      </c>
      <c r="C151" s="108">
        <f>IFERROR(INDEX(lifespans_all!C$158:C$212,MATCH($A151,lifespans_all!$A$158:$A$212,0))*INDEX(SR_mission_minutes!C$2:C$43,MATCH($A151,SR_mission_minutes!$A$2:$A$43)),"-")</f>
        <v>66700.388888888891</v>
      </c>
      <c r="D151" s="108">
        <f>IFERROR(INDEX(lifespans_all!D$80:D$126,MATCH($A151,lifespans_all!$A$80:$A$126,0))*INDEX(SR_mission_minutes!D$2:D$43,MATCH($A151,SR_mission_minutes!$A$2:$A$43)),"-")</f>
        <v>66700.388888888891</v>
      </c>
      <c r="E151" s="108">
        <f>IFERROR(INDEX(lifespans_all!E$80:E$126,MATCH($A151,lifespans_all!$A$80:$A$126,0))*INDEX(SR_mission_minutes!E$2:E$43,MATCH($A151,SR_mission_minutes!$A$2:$A$43)),"-")</f>
        <v>66700.388888888891</v>
      </c>
      <c r="F151" s="108">
        <f>IFERROR(INDEX(lifespans_all!F$80:F$126,MATCH($A151,lifespans_all!$A$80:$A$126,0))*INDEX(SR_mission_minutes!F$2:F$43,MATCH($A151,SR_mission_minutes!$A$2:$A$43)),"-")</f>
        <v>66700.388888888891</v>
      </c>
      <c r="G151" s="108">
        <f>IFERROR(INDEX(lifespans_all!G$80:G$126,MATCH($A151,lifespans_all!$A$80:$A$126,0))*INDEX(SR_mission_minutes!G$2:G$43,MATCH($A151,SR_mission_minutes!$A$2:$A$43)),"-")</f>
        <v>66700.388888888891</v>
      </c>
      <c r="H151" s="108">
        <f>IFERROR(INDEX(lifespans_all!H$80:H$126,MATCH($A151,lifespans_all!$A$80:$A$126,0))*INDEX(SR_mission_minutes!H$2:H$43,MATCH($A151,SR_mission_minutes!$A$2:$A$43)),"-")</f>
        <v>66700.388888888891</v>
      </c>
      <c r="I151" s="108">
        <f>IFERROR(INDEX(lifespans_all!I$80:I$126,MATCH($A151,lifespans_all!$A$80:$A$126,0))*INDEX(SR_mission_minutes!I$2:I$43,MATCH($A151,SR_mission_minutes!$A$2:$A$43)),"-")</f>
        <v>0</v>
      </c>
      <c r="J151" s="108">
        <f>IFERROR(INDEX(lifespans_all!J$80:J$126,MATCH($A151,lifespans_all!$A$80:$A$126,0))*INDEX(SR_mission_minutes!J$2:J$43,MATCH($A151,SR_mission_minutes!$A$2:$A$43)),"-")</f>
        <v>0</v>
      </c>
      <c r="K151" s="108">
        <f>IFERROR(INDEX(lifespans_all!K$80:K$126,MATCH($A151,lifespans_all!$A$80:$A$126,0))*INDEX(SR_mission_minutes!K$2:K$43,MATCH($A151,SR_mission_minutes!$A$2:$A$43)),"-")</f>
        <v>0</v>
      </c>
      <c r="L151" s="108">
        <f>IFERROR(INDEX(lifespans_all!L$80:L$126,MATCH($A151,lifespans_all!$A$80:$A$126,0))*INDEX(SR_mission_minutes!L$2:L$43,MATCH($A151,SR_mission_minutes!$A$2:$A$43)),"-")</f>
        <v>0</v>
      </c>
      <c r="M151" s="108">
        <f>IFERROR(INDEX(lifespans_all!M$80:M$126,MATCH($A151,lifespans_all!$A$80:$A$126,0))*INDEX(SR_mission_minutes!M$2:M$43,MATCH($A151,SR_mission_minutes!$A$2:$A$43)),"-")</f>
        <v>0</v>
      </c>
      <c r="N151" s="108">
        <f>IFERROR(INDEX(lifespans_all!N$80:N$126,MATCH($A151,lifespans_all!$A$80:$A$126,0))*INDEX(SR_mission_minutes!N$2:N$43,MATCH($A151,SR_mission_minutes!$A$2:$A$43)),"-")</f>
        <v>0</v>
      </c>
      <c r="O151" s="108">
        <f>IFERROR(INDEX(lifespans_all!O$80:O$126,MATCH($A151,lifespans_all!$A$80:$A$126,0))*INDEX(SR_mission_minutes!O$2:O$43,MATCH($A151,SR_mission_minutes!$A$2:$A$43)),"-")</f>
        <v>0</v>
      </c>
      <c r="P151" s="108">
        <f>IFERROR(INDEX(lifespans_all!P$80:P$126,MATCH($A151,lifespans_all!$A$80:$A$126,0))*INDEX(SR_mission_minutes!P$2:P$43,MATCH($A151,SR_mission_minutes!$A$2:$A$43)),"-")</f>
        <v>0</v>
      </c>
      <c r="Q151" s="108">
        <f>IFERROR(INDEX(lifespans_all!Q$80:Q$126,MATCH($A151,lifespans_all!$A$80:$A$126,0))*INDEX(SR_mission_minutes!Q$2:Q$43,MATCH($A151,SR_mission_minutes!$A$2:$A$43)),"-")</f>
        <v>0</v>
      </c>
      <c r="R151" s="108">
        <f>IFERROR(INDEX(lifespans_all!R$80:R$126,MATCH($A151,lifespans_all!$A$80:$A$126,0))*INDEX(SR_mission_minutes!R$2:R$43,MATCH($A151,SR_mission_minutes!$A$2:$A$43)),"-")</f>
        <v>0</v>
      </c>
      <c r="S151" s="108">
        <f>IFERROR(INDEX(lifespans_all!S$80:S$126,MATCH($A151,lifespans_all!$A$80:$A$126,0))*INDEX(SR_mission_minutes!S$2:S$43,MATCH($A151,SR_mission_minutes!$A$2:$A$43)),"-")</f>
        <v>0</v>
      </c>
      <c r="T151" s="108">
        <f>IFERROR(INDEX(lifespans_all!T$80:T$126,MATCH($A151,lifespans_all!$A$80:$A$126,0))*INDEX(SR_mission_minutes!T$2:T$43,MATCH($A151,SR_mission_minutes!$A$2:$A$43)),"-")</f>
        <v>0</v>
      </c>
      <c r="U151" s="108">
        <f>IFERROR(INDEX(lifespans_all!U$80:U$126,MATCH($A151,lifespans_all!$A$80:$A$126,0))*INDEX(SR_mission_minutes!U$2:U$43,MATCH($A151,SR_mission_minutes!$A$2:$A$43)),"-")</f>
        <v>0</v>
      </c>
      <c r="V151" s="108">
        <f>IFERROR(INDEX(lifespans_all!V$80:V$126,MATCH($A151,lifespans_all!$A$80:$A$126,0))*INDEX(SR_mission_minutes!V$2:V$43,MATCH($A151,SR_mission_minutes!$A$2:$A$43)),"-")</f>
        <v>0</v>
      </c>
    </row>
    <row r="152" spans="1:22" x14ac:dyDescent="0.25">
      <c r="A152" s="32" t="s">
        <v>18</v>
      </c>
      <c r="B152" s="32" t="s">
        <v>48</v>
      </c>
      <c r="C152" s="108" t="str">
        <f>IFERROR(INDEX(lifespans_all!C$158:C$212,MATCH($A152,lifespans_all!$A$158:$A$212,0))*INDEX(SR_mission_minutes!C$2:C$43,MATCH($A152,SR_mission_minutes!$A$2:$A$43)),"-")</f>
        <v>-</v>
      </c>
      <c r="D152" s="108" t="str">
        <f>IFERROR(INDEX(lifespans_all!D$80:D$126,MATCH($A152,lifespans_all!$A$80:$A$126,0))*INDEX(SR_mission_minutes!D$2:D$43,MATCH($A152,SR_mission_minutes!$A$2:$A$43)),"-")</f>
        <v>-</v>
      </c>
      <c r="E152" s="108" t="str">
        <f>IFERROR(INDEX(lifespans_all!E$80:E$126,MATCH($A152,lifespans_all!$A$80:$A$126,0))*INDEX(SR_mission_minutes!E$2:E$43,MATCH($A152,SR_mission_minutes!$A$2:$A$43)),"-")</f>
        <v>-</v>
      </c>
      <c r="F152" s="108" t="str">
        <f>IFERROR(INDEX(lifespans_all!F$80:F$126,MATCH($A152,lifespans_all!$A$80:$A$126,0))*INDEX(SR_mission_minutes!F$2:F$43,MATCH($A152,SR_mission_minutes!$A$2:$A$43)),"-")</f>
        <v>-</v>
      </c>
      <c r="G152" s="108" t="str">
        <f>IFERROR(INDEX(lifespans_all!G$80:G$126,MATCH($A152,lifespans_all!$A$80:$A$126,0))*INDEX(SR_mission_minutes!G$2:G$43,MATCH($A152,SR_mission_minutes!$A$2:$A$43)),"-")</f>
        <v>-</v>
      </c>
      <c r="H152" s="108" t="str">
        <f>IFERROR(INDEX(lifespans_all!H$80:H$126,MATCH($A152,lifespans_all!$A$80:$A$126,0))*INDEX(SR_mission_minutes!H$2:H$43,MATCH($A152,SR_mission_minutes!$A$2:$A$43)),"-")</f>
        <v>-</v>
      </c>
      <c r="I152" s="108" t="str">
        <f>IFERROR(INDEX(lifespans_all!I$80:I$126,MATCH($A152,lifespans_all!$A$80:$A$126,0))*INDEX(SR_mission_minutes!I$2:I$43,MATCH($A152,SR_mission_minutes!$A$2:$A$43)),"-")</f>
        <v>-</v>
      </c>
      <c r="J152" s="108" t="str">
        <f>IFERROR(INDEX(lifespans_all!J$80:J$126,MATCH($A152,lifespans_all!$A$80:$A$126,0))*INDEX(SR_mission_minutes!J$2:J$43,MATCH($A152,SR_mission_minutes!$A$2:$A$43)),"-")</f>
        <v>-</v>
      </c>
      <c r="K152" s="108" t="str">
        <f>IFERROR(INDEX(lifespans_all!K$80:K$126,MATCH($A152,lifespans_all!$A$80:$A$126,0))*INDEX(SR_mission_minutes!K$2:K$43,MATCH($A152,SR_mission_minutes!$A$2:$A$43)),"-")</f>
        <v>-</v>
      </c>
      <c r="L152" s="108" t="str">
        <f>IFERROR(INDEX(lifespans_all!L$80:L$126,MATCH($A152,lifespans_all!$A$80:$A$126,0))*INDEX(SR_mission_minutes!L$2:L$43,MATCH($A152,SR_mission_minutes!$A$2:$A$43)),"-")</f>
        <v>-</v>
      </c>
      <c r="M152" s="108" t="str">
        <f>IFERROR(INDEX(lifespans_all!M$80:M$126,MATCH($A152,lifespans_all!$A$80:$A$126,0))*INDEX(SR_mission_minutes!M$2:M$43,MATCH($A152,SR_mission_minutes!$A$2:$A$43)),"-")</f>
        <v>-</v>
      </c>
      <c r="N152" s="108" t="str">
        <f>IFERROR(INDEX(lifespans_all!N$80:N$126,MATCH($A152,lifespans_all!$A$80:$A$126,0))*INDEX(SR_mission_minutes!N$2:N$43,MATCH($A152,SR_mission_minutes!$A$2:$A$43)),"-")</f>
        <v>-</v>
      </c>
      <c r="O152" s="108" t="str">
        <f>IFERROR(INDEX(lifespans_all!O$80:O$126,MATCH($A152,lifespans_all!$A$80:$A$126,0))*INDEX(SR_mission_minutes!O$2:O$43,MATCH($A152,SR_mission_minutes!$A$2:$A$43)),"-")</f>
        <v>-</v>
      </c>
      <c r="P152" s="108" t="str">
        <f>IFERROR(INDEX(lifespans_all!P$80:P$126,MATCH($A152,lifespans_all!$A$80:$A$126,0))*INDEX(SR_mission_minutes!P$2:P$43,MATCH($A152,SR_mission_minutes!$A$2:$A$43)),"-")</f>
        <v>-</v>
      </c>
      <c r="Q152" s="108" t="str">
        <f>IFERROR(INDEX(lifespans_all!Q$80:Q$126,MATCH($A152,lifespans_all!$A$80:$A$126,0))*INDEX(SR_mission_minutes!Q$2:Q$43,MATCH($A152,SR_mission_minutes!$A$2:$A$43)),"-")</f>
        <v>-</v>
      </c>
      <c r="R152" s="108" t="str">
        <f>IFERROR(INDEX(lifespans_all!R$80:R$126,MATCH($A152,lifespans_all!$A$80:$A$126,0))*INDEX(SR_mission_minutes!R$2:R$43,MATCH($A152,SR_mission_minutes!$A$2:$A$43)),"-")</f>
        <v>-</v>
      </c>
      <c r="S152" s="108" t="str">
        <f>IFERROR(INDEX(lifespans_all!S$80:S$126,MATCH($A152,lifespans_all!$A$80:$A$126,0))*INDEX(SR_mission_minutes!S$2:S$43,MATCH($A152,SR_mission_minutes!$A$2:$A$43)),"-")</f>
        <v>-</v>
      </c>
      <c r="T152" s="108" t="str">
        <f>IFERROR(INDEX(lifespans_all!T$80:T$126,MATCH($A152,lifespans_all!$A$80:$A$126,0))*INDEX(SR_mission_minutes!T$2:T$43,MATCH($A152,SR_mission_minutes!$A$2:$A$43)),"-")</f>
        <v>-</v>
      </c>
      <c r="U152" s="108" t="str">
        <f>IFERROR(INDEX(lifespans_all!U$80:U$126,MATCH($A152,lifespans_all!$A$80:$A$126,0))*INDEX(SR_mission_minutes!U$2:U$43,MATCH($A152,SR_mission_minutes!$A$2:$A$43)),"-")</f>
        <v>-</v>
      </c>
      <c r="V152" s="108" t="str">
        <f>IFERROR(INDEX(lifespans_all!V$80:V$126,MATCH($A152,lifespans_all!$A$80:$A$126,0))*INDEX(SR_mission_minutes!V$2:V$43,MATCH($A152,SR_mission_minutes!$A$2:$A$43)),"-")</f>
        <v>-</v>
      </c>
    </row>
    <row r="153" spans="1:22" x14ac:dyDescent="0.25">
      <c r="A153" s="32" t="s">
        <v>55</v>
      </c>
      <c r="B153" s="32" t="s">
        <v>42</v>
      </c>
      <c r="C153" s="108">
        <f>IFERROR(INDEX(lifespans_all!C$158:C$212,MATCH($A153,lifespans_all!$A$158:$A$212,0))*INDEX(SR_mission_minutes!C$2:C$43,MATCH($A153,SR_mission_minutes!$A$2:$A$43)),"-")</f>
        <v>2294</v>
      </c>
      <c r="D153" s="108">
        <f>IFERROR(INDEX(lifespans_all!D$80:D$126,MATCH($A153,lifespans_all!$A$80:$A$126,0))*INDEX(SR_mission_minutes!D$2:D$43,MATCH($A153,SR_mission_minutes!$A$2:$A$43)),"-")</f>
        <v>2294</v>
      </c>
      <c r="E153" s="108">
        <f>IFERROR(INDEX(lifespans_all!E$80:E$126,MATCH($A153,lifespans_all!$A$80:$A$126,0))*INDEX(SR_mission_minutes!E$2:E$43,MATCH($A153,SR_mission_minutes!$A$2:$A$43)),"-")</f>
        <v>2294</v>
      </c>
      <c r="F153" s="108">
        <f>IFERROR(INDEX(lifespans_all!F$80:F$126,MATCH($A153,lifespans_all!$A$80:$A$126,0))*INDEX(SR_mission_minutes!F$2:F$43,MATCH($A153,SR_mission_minutes!$A$2:$A$43)),"-")</f>
        <v>2294</v>
      </c>
      <c r="G153" s="108">
        <f>IFERROR(INDEX(lifespans_all!G$80:G$126,MATCH($A153,lifespans_all!$A$80:$A$126,0))*INDEX(SR_mission_minutes!G$2:G$43,MATCH($A153,SR_mission_minutes!$A$2:$A$43)),"-")</f>
        <v>2294</v>
      </c>
      <c r="H153" s="108">
        <f>IFERROR(INDEX(lifespans_all!H$80:H$126,MATCH($A153,lifespans_all!$A$80:$A$126,0))*INDEX(SR_mission_minutes!H$2:H$43,MATCH($A153,SR_mission_minutes!$A$2:$A$43)),"-")</f>
        <v>2294</v>
      </c>
      <c r="I153" s="108">
        <f>IFERROR(INDEX(lifespans_all!I$80:I$126,MATCH($A153,lifespans_all!$A$80:$A$126,0))*INDEX(SR_mission_minutes!I$2:I$43,MATCH($A153,SR_mission_minutes!$A$2:$A$43)),"-")</f>
        <v>2294</v>
      </c>
      <c r="J153" s="108">
        <f>IFERROR(INDEX(lifespans_all!J$80:J$126,MATCH($A153,lifespans_all!$A$80:$A$126,0))*INDEX(SR_mission_minutes!J$2:J$43,MATCH($A153,SR_mission_minutes!$A$2:$A$43)),"-")</f>
        <v>2294</v>
      </c>
      <c r="K153" s="108">
        <f>IFERROR(INDEX(lifespans_all!K$80:K$126,MATCH($A153,lifespans_all!$A$80:$A$126,0))*INDEX(SR_mission_minutes!K$2:K$43,MATCH($A153,SR_mission_minutes!$A$2:$A$43)),"-")</f>
        <v>2294</v>
      </c>
      <c r="L153" s="108">
        <f>IFERROR(INDEX(lifespans_all!L$80:L$126,MATCH($A153,lifespans_all!$A$80:$A$126,0))*INDEX(SR_mission_minutes!L$2:L$43,MATCH($A153,SR_mission_minutes!$A$2:$A$43)),"-")</f>
        <v>2294</v>
      </c>
      <c r="M153" s="108">
        <f>IFERROR(INDEX(lifespans_all!M$80:M$126,MATCH($A153,lifespans_all!$A$80:$A$126,0))*INDEX(SR_mission_minutes!M$2:M$43,MATCH($A153,SR_mission_minutes!$A$2:$A$43)),"-")</f>
        <v>2294</v>
      </c>
      <c r="N153" s="108">
        <f>IFERROR(INDEX(lifespans_all!N$80:N$126,MATCH($A153,lifespans_all!$A$80:$A$126,0))*INDEX(SR_mission_minutes!N$2:N$43,MATCH($A153,SR_mission_minutes!$A$2:$A$43)),"-")</f>
        <v>2294</v>
      </c>
      <c r="O153" s="108">
        <f>IFERROR(INDEX(lifespans_all!O$80:O$126,MATCH($A153,lifespans_all!$A$80:$A$126,0))*INDEX(SR_mission_minutes!O$2:O$43,MATCH($A153,SR_mission_minutes!$A$2:$A$43)),"-")</f>
        <v>2294</v>
      </c>
      <c r="P153" s="108">
        <f>IFERROR(INDEX(lifespans_all!P$80:P$126,MATCH($A153,lifespans_all!$A$80:$A$126,0))*INDEX(SR_mission_minutes!P$2:P$43,MATCH($A153,SR_mission_minutes!$A$2:$A$43)),"-")</f>
        <v>2294</v>
      </c>
      <c r="Q153" s="108">
        <f>IFERROR(INDEX(lifespans_all!Q$80:Q$126,MATCH($A153,lifespans_all!$A$80:$A$126,0))*INDEX(SR_mission_minutes!Q$2:Q$43,MATCH($A153,SR_mission_minutes!$A$2:$A$43)),"-")</f>
        <v>2294</v>
      </c>
      <c r="R153" s="108">
        <f>IFERROR(INDEX(lifespans_all!R$80:R$126,MATCH($A153,lifespans_all!$A$80:$A$126,0))*INDEX(SR_mission_minutes!R$2:R$43,MATCH($A153,SR_mission_minutes!$A$2:$A$43)),"-")</f>
        <v>2294</v>
      </c>
      <c r="S153" s="108">
        <f>IFERROR(INDEX(lifespans_all!S$80:S$126,MATCH($A153,lifespans_all!$A$80:$A$126,0))*INDEX(SR_mission_minutes!S$2:S$43,MATCH($A153,SR_mission_minutes!$A$2:$A$43)),"-")</f>
        <v>2294</v>
      </c>
      <c r="T153" s="108">
        <f>IFERROR(INDEX(lifespans_all!T$80:T$126,MATCH($A153,lifespans_all!$A$80:$A$126,0))*INDEX(SR_mission_minutes!T$2:T$43,MATCH($A153,SR_mission_minutes!$A$2:$A$43)),"-")</f>
        <v>2294</v>
      </c>
      <c r="U153" s="108">
        <f>IFERROR(INDEX(lifespans_all!U$80:U$126,MATCH($A153,lifespans_all!$A$80:$A$126,0))*INDEX(SR_mission_minutes!U$2:U$43,MATCH($A153,SR_mission_minutes!$A$2:$A$43)),"-")</f>
        <v>2294</v>
      </c>
      <c r="V153" s="108">
        <f>IFERROR(INDEX(lifespans_all!V$80:V$126,MATCH($A153,lifespans_all!$A$80:$A$126,0))*INDEX(SR_mission_minutes!V$2:V$43,MATCH($A153,SR_mission_minutes!$A$2:$A$43)),"-")</f>
        <v>2294</v>
      </c>
    </row>
    <row r="154" spans="1:22" x14ac:dyDescent="0.25">
      <c r="A154" s="32" t="s">
        <v>56</v>
      </c>
      <c r="B154" s="32" t="s">
        <v>43</v>
      </c>
      <c r="C154" s="108">
        <f>IFERROR(INDEX(lifespans_all!C$158:C$212,MATCH($A154,lifespans_all!$A$158:$A$212,0))*INDEX(SR_mission_minutes!C$2:C$43,MATCH($A154,SR_mission_minutes!$A$2:$A$43)),"-")</f>
        <v>114879</v>
      </c>
      <c r="D154" s="108">
        <f>IFERROR(INDEX(lifespans_all!D$80:D$126,MATCH($A154,lifespans_all!$A$80:$A$126,0))*INDEX(SR_mission_minutes!D$2:D$43,MATCH($A154,SR_mission_minutes!$A$2:$A$43)),"-")</f>
        <v>114879</v>
      </c>
      <c r="E154" s="108">
        <f>IFERROR(INDEX(lifespans_all!E$80:E$126,MATCH($A154,lifespans_all!$A$80:$A$126,0))*INDEX(SR_mission_minutes!E$2:E$43,MATCH($A154,SR_mission_minutes!$A$2:$A$43)),"-")</f>
        <v>114879</v>
      </c>
      <c r="F154" s="108">
        <f>IFERROR(INDEX(lifespans_all!F$80:F$126,MATCH($A154,lifespans_all!$A$80:$A$126,0))*INDEX(SR_mission_minutes!F$2:F$43,MATCH($A154,SR_mission_minutes!$A$2:$A$43)),"-")</f>
        <v>114879</v>
      </c>
      <c r="G154" s="108">
        <f>IFERROR(INDEX(lifespans_all!G$80:G$126,MATCH($A154,lifespans_all!$A$80:$A$126,0))*INDEX(SR_mission_minutes!G$2:G$43,MATCH($A154,SR_mission_minutes!$A$2:$A$43)),"-")</f>
        <v>114879</v>
      </c>
      <c r="H154" s="108">
        <f>IFERROR(INDEX(lifespans_all!H$80:H$126,MATCH($A154,lifespans_all!$A$80:$A$126,0))*INDEX(SR_mission_minutes!H$2:H$43,MATCH($A154,SR_mission_minutes!$A$2:$A$43)),"-")</f>
        <v>114879</v>
      </c>
      <c r="I154" s="108">
        <f>IFERROR(INDEX(lifespans_all!I$80:I$126,MATCH($A154,lifespans_all!$A$80:$A$126,0))*INDEX(SR_mission_minutes!I$2:I$43,MATCH($A154,SR_mission_minutes!$A$2:$A$43)),"-")</f>
        <v>114879</v>
      </c>
      <c r="J154" s="108">
        <f>IFERROR(INDEX(lifespans_all!J$80:J$126,MATCH($A154,lifespans_all!$A$80:$A$126,0))*INDEX(SR_mission_minutes!J$2:J$43,MATCH($A154,SR_mission_minutes!$A$2:$A$43)),"-")</f>
        <v>114879</v>
      </c>
      <c r="K154" s="108">
        <f>IFERROR(INDEX(lifespans_all!K$80:K$126,MATCH($A154,lifespans_all!$A$80:$A$126,0))*INDEX(SR_mission_minutes!K$2:K$43,MATCH($A154,SR_mission_minutes!$A$2:$A$43)),"-")</f>
        <v>114879</v>
      </c>
      <c r="L154" s="108">
        <f>IFERROR(INDEX(lifespans_all!L$80:L$126,MATCH($A154,lifespans_all!$A$80:$A$126,0))*INDEX(SR_mission_minutes!L$2:L$43,MATCH($A154,SR_mission_minutes!$A$2:$A$43)),"-")</f>
        <v>114879</v>
      </c>
      <c r="M154" s="108">
        <f>IFERROR(INDEX(lifespans_all!M$80:M$126,MATCH($A154,lifespans_all!$A$80:$A$126,0))*INDEX(SR_mission_minutes!M$2:M$43,MATCH($A154,SR_mission_minutes!$A$2:$A$43)),"-")</f>
        <v>114879</v>
      </c>
      <c r="N154" s="108">
        <f>IFERROR(INDEX(lifespans_all!N$80:N$126,MATCH($A154,lifespans_all!$A$80:$A$126,0))*INDEX(SR_mission_minutes!N$2:N$43,MATCH($A154,SR_mission_minutes!$A$2:$A$43)),"-")</f>
        <v>114879</v>
      </c>
      <c r="O154" s="108">
        <f>IFERROR(INDEX(lifespans_all!O$80:O$126,MATCH($A154,lifespans_all!$A$80:$A$126,0))*INDEX(SR_mission_minutes!O$2:O$43,MATCH($A154,SR_mission_minutes!$A$2:$A$43)),"-")</f>
        <v>114879</v>
      </c>
      <c r="P154" s="108">
        <f>IFERROR(INDEX(lifespans_all!P$80:P$126,MATCH($A154,lifespans_all!$A$80:$A$126,0))*INDEX(SR_mission_minutes!P$2:P$43,MATCH($A154,SR_mission_minutes!$A$2:$A$43)),"-")</f>
        <v>114879</v>
      </c>
      <c r="Q154" s="108">
        <f>IFERROR(INDEX(lifespans_all!Q$80:Q$126,MATCH($A154,lifespans_all!$A$80:$A$126,0))*INDEX(SR_mission_minutes!Q$2:Q$43,MATCH($A154,SR_mission_minutes!$A$2:$A$43)),"-")</f>
        <v>114879</v>
      </c>
      <c r="R154" s="108">
        <f>IFERROR(INDEX(lifespans_all!R$80:R$126,MATCH($A154,lifespans_all!$A$80:$A$126,0))*INDEX(SR_mission_minutes!R$2:R$43,MATCH($A154,SR_mission_minutes!$A$2:$A$43)),"-")</f>
        <v>114879</v>
      </c>
      <c r="S154" s="108">
        <f>IFERROR(INDEX(lifespans_all!S$80:S$126,MATCH($A154,lifespans_all!$A$80:$A$126,0))*INDEX(SR_mission_minutes!S$2:S$43,MATCH($A154,SR_mission_minutes!$A$2:$A$43)),"-")</f>
        <v>114879</v>
      </c>
      <c r="T154" s="108">
        <f>IFERROR(INDEX(lifespans_all!T$80:T$126,MATCH($A154,lifespans_all!$A$80:$A$126,0))*INDEX(SR_mission_minutes!T$2:T$43,MATCH($A154,SR_mission_minutes!$A$2:$A$43)),"-")</f>
        <v>114879</v>
      </c>
      <c r="U154" s="108">
        <f>IFERROR(INDEX(lifespans_all!U$80:U$126,MATCH($A154,lifespans_all!$A$80:$A$126,0))*INDEX(SR_mission_minutes!U$2:U$43,MATCH($A154,SR_mission_minutes!$A$2:$A$43)),"-")</f>
        <v>114879</v>
      </c>
      <c r="V154" s="108">
        <f>IFERROR(INDEX(lifespans_all!V$80:V$126,MATCH($A154,lifespans_all!$A$80:$A$126,0))*INDEX(SR_mission_minutes!V$2:V$43,MATCH($A154,SR_mission_minutes!$A$2:$A$43)),"-")</f>
        <v>114879</v>
      </c>
    </row>
    <row r="155" spans="1:22" x14ac:dyDescent="0.25">
      <c r="A155" s="32" t="s">
        <v>19</v>
      </c>
      <c r="B155" s="32" t="s">
        <v>41</v>
      </c>
      <c r="C155" s="108">
        <f>IFERROR(INDEX(lifespans_all!C$158:C$212,MATCH($A155,lifespans_all!$A$158:$A$212,0))*INDEX(SR_mission_minutes!C$2:C$43,MATCH($A155,SR_mission_minutes!$A$2:$A$43)),"-")</f>
        <v>66700.388888888891</v>
      </c>
      <c r="D155" s="108">
        <f>IFERROR(INDEX(lifespans_all!D$80:D$126,MATCH($A155,lifespans_all!$A$80:$A$126,0))*INDEX(SR_mission_minutes!D$2:D$43,MATCH($A155,SR_mission_minutes!$A$2:$A$43)),"-")</f>
        <v>66700.388888888891</v>
      </c>
      <c r="E155" s="108">
        <f>IFERROR(INDEX(lifespans_all!E$80:E$126,MATCH($A155,lifespans_all!$A$80:$A$126,0))*INDEX(SR_mission_minutes!E$2:E$43,MATCH($A155,SR_mission_minutes!$A$2:$A$43)),"-")</f>
        <v>66700.388888888891</v>
      </c>
      <c r="F155" s="108">
        <f>IFERROR(INDEX(lifespans_all!F$80:F$126,MATCH($A155,lifespans_all!$A$80:$A$126,0))*INDEX(SR_mission_minutes!F$2:F$43,MATCH($A155,SR_mission_minutes!$A$2:$A$43)),"-")</f>
        <v>66700.388888888891</v>
      </c>
      <c r="G155" s="108">
        <f>IFERROR(INDEX(lifespans_all!G$80:G$126,MATCH($A155,lifespans_all!$A$80:$A$126,0))*INDEX(SR_mission_minutes!G$2:G$43,MATCH($A155,SR_mission_minutes!$A$2:$A$43)),"-")</f>
        <v>66700.388888888891</v>
      </c>
      <c r="H155" s="108">
        <f>IFERROR(INDEX(lifespans_all!H$80:H$126,MATCH($A155,lifespans_all!$A$80:$A$126,0))*INDEX(SR_mission_minutes!H$2:H$43,MATCH($A155,SR_mission_minutes!$A$2:$A$43)),"-")</f>
        <v>66700.388888888891</v>
      </c>
      <c r="I155" s="108">
        <f>IFERROR(INDEX(lifespans_all!I$80:I$126,MATCH($A155,lifespans_all!$A$80:$A$126,0))*INDEX(SR_mission_minutes!I$2:I$43,MATCH($A155,SR_mission_minutes!$A$2:$A$43)),"-")</f>
        <v>66700.388888888891</v>
      </c>
      <c r="J155" s="108">
        <f>IFERROR(INDEX(lifespans_all!J$80:J$126,MATCH($A155,lifespans_all!$A$80:$A$126,0))*INDEX(SR_mission_minutes!J$2:J$43,MATCH($A155,SR_mission_minutes!$A$2:$A$43)),"-")</f>
        <v>0</v>
      </c>
      <c r="K155" s="108">
        <f>IFERROR(INDEX(lifespans_all!K$80:K$126,MATCH($A155,lifespans_all!$A$80:$A$126,0))*INDEX(SR_mission_minutes!K$2:K$43,MATCH($A155,SR_mission_minutes!$A$2:$A$43)),"-")</f>
        <v>0</v>
      </c>
      <c r="L155" s="108">
        <f>IFERROR(INDEX(lifespans_all!L$80:L$126,MATCH($A155,lifespans_all!$A$80:$A$126,0))*INDEX(SR_mission_minutes!L$2:L$43,MATCH($A155,SR_mission_minutes!$A$2:$A$43)),"-")</f>
        <v>0</v>
      </c>
      <c r="M155" s="108">
        <f>IFERROR(INDEX(lifespans_all!M$80:M$126,MATCH($A155,lifespans_all!$A$80:$A$126,0))*INDEX(SR_mission_minutes!M$2:M$43,MATCH($A155,SR_mission_minutes!$A$2:$A$43)),"-")</f>
        <v>0</v>
      </c>
      <c r="N155" s="108">
        <f>IFERROR(INDEX(lifespans_all!N$80:N$126,MATCH($A155,lifespans_all!$A$80:$A$126,0))*INDEX(SR_mission_minutes!N$2:N$43,MATCH($A155,SR_mission_minutes!$A$2:$A$43)),"-")</f>
        <v>0</v>
      </c>
      <c r="O155" s="108">
        <f>IFERROR(INDEX(lifespans_all!O$80:O$126,MATCH($A155,lifespans_all!$A$80:$A$126,0))*INDEX(SR_mission_minutes!O$2:O$43,MATCH($A155,SR_mission_minutes!$A$2:$A$43)),"-")</f>
        <v>0</v>
      </c>
      <c r="P155" s="108">
        <f>IFERROR(INDEX(lifespans_all!P$80:P$126,MATCH($A155,lifespans_all!$A$80:$A$126,0))*INDEX(SR_mission_minutes!P$2:P$43,MATCH($A155,SR_mission_minutes!$A$2:$A$43)),"-")</f>
        <v>0</v>
      </c>
      <c r="Q155" s="108">
        <f>IFERROR(INDEX(lifespans_all!Q$80:Q$126,MATCH($A155,lifespans_all!$A$80:$A$126,0))*INDEX(SR_mission_minutes!Q$2:Q$43,MATCH($A155,SR_mission_minutes!$A$2:$A$43)),"-")</f>
        <v>0</v>
      </c>
      <c r="R155" s="108">
        <f>IFERROR(INDEX(lifespans_all!R$80:R$126,MATCH($A155,lifespans_all!$A$80:$A$126,0))*INDEX(SR_mission_minutes!R$2:R$43,MATCH($A155,SR_mission_minutes!$A$2:$A$43)),"-")</f>
        <v>0</v>
      </c>
      <c r="S155" s="108">
        <f>IFERROR(INDEX(lifespans_all!S$80:S$126,MATCH($A155,lifespans_all!$A$80:$A$126,0))*INDEX(SR_mission_minutes!S$2:S$43,MATCH($A155,SR_mission_minutes!$A$2:$A$43)),"-")</f>
        <v>0</v>
      </c>
      <c r="T155" s="108">
        <f>IFERROR(INDEX(lifespans_all!T$80:T$126,MATCH($A155,lifespans_all!$A$80:$A$126,0))*INDEX(SR_mission_minutes!T$2:T$43,MATCH($A155,SR_mission_minutes!$A$2:$A$43)),"-")</f>
        <v>0</v>
      </c>
      <c r="U155" s="108">
        <f>IFERROR(INDEX(lifespans_all!U$80:U$126,MATCH($A155,lifespans_all!$A$80:$A$126,0))*INDEX(SR_mission_minutes!U$2:U$43,MATCH($A155,SR_mission_minutes!$A$2:$A$43)),"-")</f>
        <v>0</v>
      </c>
      <c r="V155" s="108">
        <f>IFERROR(INDEX(lifespans_all!V$80:V$126,MATCH($A155,lifespans_all!$A$80:$A$126,0))*INDEX(SR_mission_minutes!V$2:V$43,MATCH($A155,SR_mission_minutes!$A$2:$A$43)),"-")</f>
        <v>0</v>
      </c>
    </row>
    <row r="156" spans="1:22" x14ac:dyDescent="0.25">
      <c r="A156" s="32" t="s">
        <v>20</v>
      </c>
      <c r="B156" s="32" t="s">
        <v>41</v>
      </c>
      <c r="C156" s="108">
        <f>IFERROR(INDEX(lifespans_all!C$158:C$212,MATCH($A156,lifespans_all!$A$158:$A$212,0))*INDEX(SR_mission_minutes!C$2:C$43,MATCH($A156,SR_mission_minutes!$A$2:$A$43)),"-")</f>
        <v>66700.388888888891</v>
      </c>
      <c r="D156" s="108">
        <f>IFERROR(INDEX(lifespans_all!D$80:D$126,MATCH($A156,lifespans_all!$A$80:$A$126,0))*INDEX(SR_mission_minutes!D$2:D$43,MATCH($A156,SR_mission_minutes!$A$2:$A$43)),"-")</f>
        <v>66700.388888888891</v>
      </c>
      <c r="E156" s="108">
        <f>IFERROR(INDEX(lifespans_all!E$80:E$126,MATCH($A156,lifespans_all!$A$80:$A$126,0))*INDEX(SR_mission_minutes!E$2:E$43,MATCH($A156,SR_mission_minutes!$A$2:$A$43)),"-")</f>
        <v>66700.388888888891</v>
      </c>
      <c r="F156" s="108">
        <f>IFERROR(INDEX(lifespans_all!F$80:F$126,MATCH($A156,lifespans_all!$A$80:$A$126,0))*INDEX(SR_mission_minutes!F$2:F$43,MATCH($A156,SR_mission_minutes!$A$2:$A$43)),"-")</f>
        <v>66700.388888888891</v>
      </c>
      <c r="G156" s="108">
        <f>IFERROR(INDEX(lifespans_all!G$80:G$126,MATCH($A156,lifespans_all!$A$80:$A$126,0))*INDEX(SR_mission_minutes!G$2:G$43,MATCH($A156,SR_mission_minutes!$A$2:$A$43)),"-")</f>
        <v>66700.388888888891</v>
      </c>
      <c r="H156" s="108">
        <f>IFERROR(INDEX(lifespans_all!H$80:H$126,MATCH($A156,lifespans_all!$A$80:$A$126,0))*INDEX(SR_mission_minutes!H$2:H$43,MATCH($A156,SR_mission_minutes!$A$2:$A$43)),"-")</f>
        <v>66700.388888888891</v>
      </c>
      <c r="I156" s="108">
        <f>IFERROR(INDEX(lifespans_all!I$80:I$126,MATCH($A156,lifespans_all!$A$80:$A$126,0))*INDEX(SR_mission_minutes!I$2:I$43,MATCH($A156,SR_mission_minutes!$A$2:$A$43)),"-")</f>
        <v>66700.388888888891</v>
      </c>
      <c r="J156" s="108">
        <f>IFERROR(INDEX(lifespans_all!J$80:J$126,MATCH($A156,lifespans_all!$A$80:$A$126,0))*INDEX(SR_mission_minutes!J$2:J$43,MATCH($A156,SR_mission_minutes!$A$2:$A$43)),"-")</f>
        <v>66700.388888888891</v>
      </c>
      <c r="K156" s="108">
        <f>IFERROR(INDEX(lifespans_all!K$80:K$126,MATCH($A156,lifespans_all!$A$80:$A$126,0))*INDEX(SR_mission_minutes!K$2:K$43,MATCH($A156,SR_mission_minutes!$A$2:$A$43)),"-")</f>
        <v>66700.388888888891</v>
      </c>
      <c r="L156" s="108">
        <f>IFERROR(INDEX(lifespans_all!L$80:L$126,MATCH($A156,lifespans_all!$A$80:$A$126,0))*INDEX(SR_mission_minutes!L$2:L$43,MATCH($A156,SR_mission_minutes!$A$2:$A$43)),"-")</f>
        <v>66700.388888888891</v>
      </c>
      <c r="M156" s="108">
        <f>IFERROR(INDEX(lifespans_all!M$80:M$126,MATCH($A156,lifespans_all!$A$80:$A$126,0))*INDEX(SR_mission_minutes!M$2:M$43,MATCH($A156,SR_mission_minutes!$A$2:$A$43)),"-")</f>
        <v>66700.388888888891</v>
      </c>
      <c r="N156" s="108">
        <f>IFERROR(INDEX(lifespans_all!N$80:N$126,MATCH($A156,lifespans_all!$A$80:$A$126,0))*INDEX(SR_mission_minutes!N$2:N$43,MATCH($A156,SR_mission_minutes!$A$2:$A$43)),"-")</f>
        <v>66700.388888888891</v>
      </c>
      <c r="O156" s="108">
        <f>IFERROR(INDEX(lifespans_all!O$80:O$126,MATCH($A156,lifespans_all!$A$80:$A$126,0))*INDEX(SR_mission_minutes!O$2:O$43,MATCH($A156,SR_mission_minutes!$A$2:$A$43)),"-")</f>
        <v>66700.388888888891</v>
      </c>
      <c r="P156" s="108">
        <f>IFERROR(INDEX(lifespans_all!P$80:P$126,MATCH($A156,lifespans_all!$A$80:$A$126,0))*INDEX(SR_mission_minutes!P$2:P$43,MATCH($A156,SR_mission_minutes!$A$2:$A$43)),"-")</f>
        <v>66700.388888888891</v>
      </c>
      <c r="Q156" s="108">
        <f>IFERROR(INDEX(lifespans_all!Q$80:Q$126,MATCH($A156,lifespans_all!$A$80:$A$126,0))*INDEX(SR_mission_minutes!Q$2:Q$43,MATCH($A156,SR_mission_minutes!$A$2:$A$43)),"-")</f>
        <v>66700.388888888891</v>
      </c>
      <c r="R156" s="108">
        <f>IFERROR(INDEX(lifespans_all!R$80:R$126,MATCH($A156,lifespans_all!$A$80:$A$126,0))*INDEX(SR_mission_minutes!R$2:R$43,MATCH($A156,SR_mission_minutes!$A$2:$A$43)),"-")</f>
        <v>66700.388888888891</v>
      </c>
      <c r="S156" s="108">
        <f>IFERROR(INDEX(lifespans_all!S$80:S$126,MATCH($A156,lifespans_all!$A$80:$A$126,0))*INDEX(SR_mission_minutes!S$2:S$43,MATCH($A156,SR_mission_minutes!$A$2:$A$43)),"-")</f>
        <v>66700.388888888891</v>
      </c>
      <c r="T156" s="108">
        <f>IFERROR(INDEX(lifespans_all!T$80:T$126,MATCH($A156,lifespans_all!$A$80:$A$126,0))*INDEX(SR_mission_minutes!T$2:T$43,MATCH($A156,SR_mission_minutes!$A$2:$A$43)),"-")</f>
        <v>66700.388888888891</v>
      </c>
      <c r="U156" s="108">
        <f>IFERROR(INDEX(lifespans_all!U$80:U$126,MATCH($A156,lifespans_all!$A$80:$A$126,0))*INDEX(SR_mission_minutes!U$2:U$43,MATCH($A156,SR_mission_minutes!$A$2:$A$43)),"-")</f>
        <v>66700.388888888891</v>
      </c>
      <c r="V156" s="108">
        <f>IFERROR(INDEX(lifespans_all!V$80:V$126,MATCH($A156,lifespans_all!$A$80:$A$126,0))*INDEX(SR_mission_minutes!V$2:V$43,MATCH($A156,SR_mission_minutes!$A$2:$A$43)),"-")</f>
        <v>66700.388888888891</v>
      </c>
    </row>
    <row r="157" spans="1:22" x14ac:dyDescent="0.25">
      <c r="A157" s="32" t="s">
        <v>21</v>
      </c>
      <c r="B157" s="32" t="s">
        <v>41</v>
      </c>
      <c r="C157" s="108">
        <f>IFERROR(INDEX(lifespans_all!C$158:C$212,MATCH($A157,lifespans_all!$A$158:$A$212,0))*INDEX(SR_mission_minutes!C$2:C$43,MATCH($A157,SR_mission_minutes!$A$2:$A$43)),"-")</f>
        <v>66700.388888888891</v>
      </c>
      <c r="D157" s="108">
        <f>IFERROR(INDEX(lifespans_all!D$80:D$126,MATCH($A157,lifespans_all!$A$80:$A$126,0))*INDEX(SR_mission_minutes!D$2:D$43,MATCH($A157,SR_mission_minutes!$A$2:$A$43)),"-")</f>
        <v>66700.388888888891</v>
      </c>
      <c r="E157" s="108">
        <f>IFERROR(INDEX(lifespans_all!E$80:E$126,MATCH($A157,lifespans_all!$A$80:$A$126,0))*INDEX(SR_mission_minutes!E$2:E$43,MATCH($A157,SR_mission_minutes!$A$2:$A$43)),"-")</f>
        <v>66700.388888888891</v>
      </c>
      <c r="F157" s="108">
        <f>IFERROR(INDEX(lifespans_all!F$80:F$126,MATCH($A157,lifespans_all!$A$80:$A$126,0))*INDEX(SR_mission_minutes!F$2:F$43,MATCH($A157,SR_mission_minutes!$A$2:$A$43)),"-")</f>
        <v>66700.388888888891</v>
      </c>
      <c r="G157" s="108">
        <f>IFERROR(INDEX(lifespans_all!G$80:G$126,MATCH($A157,lifespans_all!$A$80:$A$126,0))*INDEX(SR_mission_minutes!G$2:G$43,MATCH($A157,SR_mission_minutes!$A$2:$A$43)),"-")</f>
        <v>66700.388888888891</v>
      </c>
      <c r="H157" s="108">
        <f>IFERROR(INDEX(lifespans_all!H$80:H$126,MATCH($A157,lifespans_all!$A$80:$A$126,0))*INDEX(SR_mission_minutes!H$2:H$43,MATCH($A157,SR_mission_minutes!$A$2:$A$43)),"-")</f>
        <v>0</v>
      </c>
      <c r="I157" s="108">
        <f>IFERROR(INDEX(lifespans_all!I$80:I$126,MATCH($A157,lifespans_all!$A$80:$A$126,0))*INDEX(SR_mission_minutes!I$2:I$43,MATCH($A157,SR_mission_minutes!$A$2:$A$43)),"-")</f>
        <v>0</v>
      </c>
      <c r="J157" s="108">
        <f>IFERROR(INDEX(lifespans_all!J$80:J$126,MATCH($A157,lifespans_all!$A$80:$A$126,0))*INDEX(SR_mission_minutes!J$2:J$43,MATCH($A157,SR_mission_minutes!$A$2:$A$43)),"-")</f>
        <v>0</v>
      </c>
      <c r="K157" s="108">
        <f>IFERROR(INDEX(lifespans_all!K$80:K$126,MATCH($A157,lifespans_all!$A$80:$A$126,0))*INDEX(SR_mission_minutes!K$2:K$43,MATCH($A157,SR_mission_minutes!$A$2:$A$43)),"-")</f>
        <v>0</v>
      </c>
      <c r="L157" s="108">
        <f>IFERROR(INDEX(lifespans_all!L$80:L$126,MATCH($A157,lifespans_all!$A$80:$A$126,0))*INDEX(SR_mission_minutes!L$2:L$43,MATCH($A157,SR_mission_minutes!$A$2:$A$43)),"-")</f>
        <v>0</v>
      </c>
      <c r="M157" s="108">
        <f>IFERROR(INDEX(lifespans_all!M$80:M$126,MATCH($A157,lifespans_all!$A$80:$A$126,0))*INDEX(SR_mission_minutes!M$2:M$43,MATCH($A157,SR_mission_minutes!$A$2:$A$43)),"-")</f>
        <v>0</v>
      </c>
      <c r="N157" s="108">
        <f>IFERROR(INDEX(lifespans_all!N$80:N$126,MATCH($A157,lifespans_all!$A$80:$A$126,0))*INDEX(SR_mission_minutes!N$2:N$43,MATCH($A157,SR_mission_minutes!$A$2:$A$43)),"-")</f>
        <v>0</v>
      </c>
      <c r="O157" s="108">
        <f>IFERROR(INDEX(lifespans_all!O$80:O$126,MATCH($A157,lifespans_all!$A$80:$A$126,0))*INDEX(SR_mission_minutes!O$2:O$43,MATCH($A157,SR_mission_minutes!$A$2:$A$43)),"-")</f>
        <v>0</v>
      </c>
      <c r="P157" s="108">
        <f>IFERROR(INDEX(lifespans_all!P$80:P$126,MATCH($A157,lifespans_all!$A$80:$A$126,0))*INDEX(SR_mission_minutes!P$2:P$43,MATCH($A157,SR_mission_minutes!$A$2:$A$43)),"-")</f>
        <v>0</v>
      </c>
      <c r="Q157" s="108">
        <f>IFERROR(INDEX(lifespans_all!Q$80:Q$126,MATCH($A157,lifespans_all!$A$80:$A$126,0))*INDEX(SR_mission_minutes!Q$2:Q$43,MATCH($A157,SR_mission_minutes!$A$2:$A$43)),"-")</f>
        <v>0</v>
      </c>
      <c r="R157" s="108">
        <f>IFERROR(INDEX(lifespans_all!R$80:R$126,MATCH($A157,lifespans_all!$A$80:$A$126,0))*INDEX(SR_mission_minutes!R$2:R$43,MATCH($A157,SR_mission_minutes!$A$2:$A$43)),"-")</f>
        <v>0</v>
      </c>
      <c r="S157" s="108">
        <f>IFERROR(INDEX(lifespans_all!S$80:S$126,MATCH($A157,lifespans_all!$A$80:$A$126,0))*INDEX(SR_mission_minutes!S$2:S$43,MATCH($A157,SR_mission_minutes!$A$2:$A$43)),"-")</f>
        <v>0</v>
      </c>
      <c r="T157" s="108">
        <f>IFERROR(INDEX(lifespans_all!T$80:T$126,MATCH($A157,lifespans_all!$A$80:$A$126,0))*INDEX(SR_mission_minutes!T$2:T$43,MATCH($A157,SR_mission_minutes!$A$2:$A$43)),"-")</f>
        <v>0</v>
      </c>
      <c r="U157" s="108">
        <f>IFERROR(INDEX(lifespans_all!U$80:U$126,MATCH($A157,lifespans_all!$A$80:$A$126,0))*INDEX(SR_mission_minutes!U$2:U$43,MATCH($A157,SR_mission_minutes!$A$2:$A$43)),"-")</f>
        <v>0</v>
      </c>
      <c r="V157" s="108">
        <f>IFERROR(INDEX(lifespans_all!V$80:V$126,MATCH($A157,lifespans_all!$A$80:$A$126,0))*INDEX(SR_mission_minutes!V$2:V$43,MATCH($A157,SR_mission_minutes!$A$2:$A$43)),"-")</f>
        <v>0</v>
      </c>
    </row>
    <row r="158" spans="1:22" x14ac:dyDescent="0.25">
      <c r="A158" s="32" t="s">
        <v>57</v>
      </c>
      <c r="B158" s="32" t="s">
        <v>41</v>
      </c>
      <c r="C158" s="108">
        <f>IFERROR(INDEX(lifespans_all!C$158:C$212,MATCH($A158,lifespans_all!$A$158:$A$212,0))*INDEX(SR_mission_minutes!C$2:C$43,MATCH($A158,SR_mission_minutes!$A$2:$A$43)),"-")</f>
        <v>66700.388888888891</v>
      </c>
      <c r="D158" s="108">
        <f>IFERROR(INDEX(lifespans_all!D$80:D$126,MATCH($A158,lifespans_all!$A$80:$A$126,0))*INDEX(SR_mission_minutes!D$2:D$43,MATCH($A158,SR_mission_minutes!$A$2:$A$43)),"-")</f>
        <v>66700.388888888891</v>
      </c>
      <c r="E158" s="108">
        <f>IFERROR(INDEX(lifespans_all!E$80:E$126,MATCH($A158,lifespans_all!$A$80:$A$126,0))*INDEX(SR_mission_minutes!E$2:E$43,MATCH($A158,SR_mission_minutes!$A$2:$A$43)),"-")</f>
        <v>66700.388888888891</v>
      </c>
      <c r="F158" s="108">
        <f>IFERROR(INDEX(lifespans_all!F$80:F$126,MATCH($A158,lifespans_all!$A$80:$A$126,0))*INDEX(SR_mission_minutes!F$2:F$43,MATCH($A158,SR_mission_minutes!$A$2:$A$43)),"-")</f>
        <v>66700.388888888891</v>
      </c>
      <c r="G158" s="108">
        <f>IFERROR(INDEX(lifespans_all!G$80:G$126,MATCH($A158,lifespans_all!$A$80:$A$126,0))*INDEX(SR_mission_minutes!G$2:G$43,MATCH($A158,SR_mission_minutes!$A$2:$A$43)),"-")</f>
        <v>66700.388888888891</v>
      </c>
      <c r="H158" s="108">
        <f>IFERROR(INDEX(lifespans_all!H$80:H$126,MATCH($A158,lifespans_all!$A$80:$A$126,0))*INDEX(SR_mission_minutes!H$2:H$43,MATCH($A158,SR_mission_minutes!$A$2:$A$43)),"-")</f>
        <v>0</v>
      </c>
      <c r="I158" s="108">
        <f>IFERROR(INDEX(lifespans_all!I$80:I$126,MATCH($A158,lifespans_all!$A$80:$A$126,0))*INDEX(SR_mission_minutes!I$2:I$43,MATCH($A158,SR_mission_minutes!$A$2:$A$43)),"-")</f>
        <v>0</v>
      </c>
      <c r="J158" s="108">
        <f>IFERROR(INDEX(lifespans_all!J$80:J$126,MATCH($A158,lifespans_all!$A$80:$A$126,0))*INDEX(SR_mission_minutes!J$2:J$43,MATCH($A158,SR_mission_minutes!$A$2:$A$43)),"-")</f>
        <v>0</v>
      </c>
      <c r="K158" s="108">
        <f>IFERROR(INDEX(lifespans_all!K$80:K$126,MATCH($A158,lifespans_all!$A$80:$A$126,0))*INDEX(SR_mission_minutes!K$2:K$43,MATCH($A158,SR_mission_minutes!$A$2:$A$43)),"-")</f>
        <v>0</v>
      </c>
      <c r="L158" s="108">
        <f>IFERROR(INDEX(lifespans_all!L$80:L$126,MATCH($A158,lifespans_all!$A$80:$A$126,0))*INDEX(SR_mission_minutes!L$2:L$43,MATCH($A158,SR_mission_minutes!$A$2:$A$43)),"-")</f>
        <v>0</v>
      </c>
      <c r="M158" s="108">
        <f>IFERROR(INDEX(lifespans_all!M$80:M$126,MATCH($A158,lifespans_all!$A$80:$A$126,0))*INDEX(SR_mission_minutes!M$2:M$43,MATCH($A158,SR_mission_minutes!$A$2:$A$43)),"-")</f>
        <v>0</v>
      </c>
      <c r="N158" s="108">
        <f>IFERROR(INDEX(lifespans_all!N$80:N$126,MATCH($A158,lifespans_all!$A$80:$A$126,0))*INDEX(SR_mission_minutes!N$2:N$43,MATCH($A158,SR_mission_minutes!$A$2:$A$43)),"-")</f>
        <v>0</v>
      </c>
      <c r="O158" s="108">
        <f>IFERROR(INDEX(lifespans_all!O$80:O$126,MATCH($A158,lifespans_all!$A$80:$A$126,0))*INDEX(SR_mission_minutes!O$2:O$43,MATCH($A158,SR_mission_minutes!$A$2:$A$43)),"-")</f>
        <v>0</v>
      </c>
      <c r="P158" s="108">
        <f>IFERROR(INDEX(lifespans_all!P$80:P$126,MATCH($A158,lifespans_all!$A$80:$A$126,0))*INDEX(SR_mission_minutes!P$2:P$43,MATCH($A158,SR_mission_minutes!$A$2:$A$43)),"-")</f>
        <v>0</v>
      </c>
      <c r="Q158" s="108">
        <f>IFERROR(INDEX(lifespans_all!Q$80:Q$126,MATCH($A158,lifespans_all!$A$80:$A$126,0))*INDEX(SR_mission_minutes!Q$2:Q$43,MATCH($A158,SR_mission_minutes!$A$2:$A$43)),"-")</f>
        <v>0</v>
      </c>
      <c r="R158" s="108">
        <f>IFERROR(INDEX(lifespans_all!R$80:R$126,MATCH($A158,lifespans_all!$A$80:$A$126,0))*INDEX(SR_mission_minutes!R$2:R$43,MATCH($A158,SR_mission_minutes!$A$2:$A$43)),"-")</f>
        <v>0</v>
      </c>
      <c r="S158" s="108">
        <f>IFERROR(INDEX(lifespans_all!S$80:S$126,MATCH($A158,lifespans_all!$A$80:$A$126,0))*INDEX(SR_mission_minutes!S$2:S$43,MATCH($A158,SR_mission_minutes!$A$2:$A$43)),"-")</f>
        <v>0</v>
      </c>
      <c r="T158" s="108">
        <f>IFERROR(INDEX(lifespans_all!T$80:T$126,MATCH($A158,lifespans_all!$A$80:$A$126,0))*INDEX(SR_mission_minutes!T$2:T$43,MATCH($A158,SR_mission_minutes!$A$2:$A$43)),"-")</f>
        <v>0</v>
      </c>
      <c r="U158" s="108">
        <f>IFERROR(INDEX(lifespans_all!U$80:U$126,MATCH($A158,lifespans_all!$A$80:$A$126,0))*INDEX(SR_mission_minutes!U$2:U$43,MATCH($A158,SR_mission_minutes!$A$2:$A$43)),"-")</f>
        <v>0</v>
      </c>
      <c r="V158" s="108">
        <f>IFERROR(INDEX(lifespans_all!V$80:V$126,MATCH($A158,lifespans_all!$A$80:$A$126,0))*INDEX(SR_mission_minutes!V$2:V$43,MATCH($A158,SR_mission_minutes!$A$2:$A$43)),"-")</f>
        <v>0</v>
      </c>
    </row>
    <row r="159" spans="1:22" x14ac:dyDescent="0.25">
      <c r="A159" s="32" t="s">
        <v>22</v>
      </c>
      <c r="B159" s="32" t="s">
        <v>41</v>
      </c>
      <c r="C159" s="108">
        <f>IFERROR(INDEX(lifespans_all!C$158:C$212,MATCH($A159,lifespans_all!$A$158:$A$212,0))*INDEX(SR_mission_minutes!C$2:C$43,MATCH($A159,SR_mission_minutes!$A$2:$A$43)),"-")</f>
        <v>66700.388888888891</v>
      </c>
      <c r="D159" s="108">
        <f>IFERROR(INDEX(lifespans_all!D$80:D$126,MATCH($A159,lifespans_all!$A$80:$A$126,0))*INDEX(SR_mission_minutes!D$2:D$43,MATCH($A159,SR_mission_minutes!$A$2:$A$43)),"-")</f>
        <v>66700.388888888891</v>
      </c>
      <c r="E159" s="108">
        <f>IFERROR(INDEX(lifespans_all!E$80:E$126,MATCH($A159,lifespans_all!$A$80:$A$126,0))*INDEX(SR_mission_minutes!E$2:E$43,MATCH($A159,SR_mission_minutes!$A$2:$A$43)),"-")</f>
        <v>66700.388888888891</v>
      </c>
      <c r="F159" s="108">
        <f>IFERROR(INDEX(lifespans_all!F$80:F$126,MATCH($A159,lifespans_all!$A$80:$A$126,0))*INDEX(SR_mission_minutes!F$2:F$43,MATCH($A159,SR_mission_minutes!$A$2:$A$43)),"-")</f>
        <v>66700.388888888891</v>
      </c>
      <c r="G159" s="108">
        <f>IFERROR(INDEX(lifespans_all!G$80:G$126,MATCH($A159,lifespans_all!$A$80:$A$126,0))*INDEX(SR_mission_minutes!G$2:G$43,MATCH($A159,SR_mission_minutes!$A$2:$A$43)),"-")</f>
        <v>0</v>
      </c>
      <c r="H159" s="108">
        <f>IFERROR(INDEX(lifespans_all!H$80:H$126,MATCH($A159,lifespans_all!$A$80:$A$126,0))*INDEX(SR_mission_minutes!H$2:H$43,MATCH($A159,SR_mission_minutes!$A$2:$A$43)),"-")</f>
        <v>0</v>
      </c>
      <c r="I159" s="108">
        <f>IFERROR(INDEX(lifespans_all!I$80:I$126,MATCH($A159,lifespans_all!$A$80:$A$126,0))*INDEX(SR_mission_minutes!I$2:I$43,MATCH($A159,SR_mission_minutes!$A$2:$A$43)),"-")</f>
        <v>0</v>
      </c>
      <c r="J159" s="108">
        <f>IFERROR(INDEX(lifespans_all!J$80:J$126,MATCH($A159,lifespans_all!$A$80:$A$126,0))*INDEX(SR_mission_minutes!J$2:J$43,MATCH($A159,SR_mission_minutes!$A$2:$A$43)),"-")</f>
        <v>0</v>
      </c>
      <c r="K159" s="108">
        <f>IFERROR(INDEX(lifespans_all!K$80:K$126,MATCH($A159,lifespans_all!$A$80:$A$126,0))*INDEX(SR_mission_minutes!K$2:K$43,MATCH($A159,SR_mission_minutes!$A$2:$A$43)),"-")</f>
        <v>0</v>
      </c>
      <c r="L159" s="108">
        <f>IFERROR(INDEX(lifespans_all!L$80:L$126,MATCH($A159,lifespans_all!$A$80:$A$126,0))*INDEX(SR_mission_minutes!L$2:L$43,MATCH($A159,SR_mission_minutes!$A$2:$A$43)),"-")</f>
        <v>0</v>
      </c>
      <c r="M159" s="108">
        <f>IFERROR(INDEX(lifespans_all!M$80:M$126,MATCH($A159,lifespans_all!$A$80:$A$126,0))*INDEX(SR_mission_minutes!M$2:M$43,MATCH($A159,SR_mission_minutes!$A$2:$A$43)),"-")</f>
        <v>0</v>
      </c>
      <c r="N159" s="108">
        <f>IFERROR(INDEX(lifespans_all!N$80:N$126,MATCH($A159,lifespans_all!$A$80:$A$126,0))*INDEX(SR_mission_minutes!N$2:N$43,MATCH($A159,SR_mission_minutes!$A$2:$A$43)),"-")</f>
        <v>0</v>
      </c>
      <c r="O159" s="108">
        <f>IFERROR(INDEX(lifespans_all!O$80:O$126,MATCH($A159,lifespans_all!$A$80:$A$126,0))*INDEX(SR_mission_minutes!O$2:O$43,MATCH($A159,SR_mission_minutes!$A$2:$A$43)),"-")</f>
        <v>0</v>
      </c>
      <c r="P159" s="108">
        <f>IFERROR(INDEX(lifespans_all!P$80:P$126,MATCH($A159,lifespans_all!$A$80:$A$126,0))*INDEX(SR_mission_minutes!P$2:P$43,MATCH($A159,SR_mission_minutes!$A$2:$A$43)),"-")</f>
        <v>0</v>
      </c>
      <c r="Q159" s="108">
        <f>IFERROR(INDEX(lifespans_all!Q$80:Q$126,MATCH($A159,lifespans_all!$A$80:$A$126,0))*INDEX(SR_mission_minutes!Q$2:Q$43,MATCH($A159,SR_mission_minutes!$A$2:$A$43)),"-")</f>
        <v>0</v>
      </c>
      <c r="R159" s="108">
        <f>IFERROR(INDEX(lifespans_all!R$80:R$126,MATCH($A159,lifespans_all!$A$80:$A$126,0))*INDEX(SR_mission_minutes!R$2:R$43,MATCH($A159,SR_mission_minutes!$A$2:$A$43)),"-")</f>
        <v>0</v>
      </c>
      <c r="S159" s="108">
        <f>IFERROR(INDEX(lifespans_all!S$80:S$126,MATCH($A159,lifespans_all!$A$80:$A$126,0))*INDEX(SR_mission_minutes!S$2:S$43,MATCH($A159,SR_mission_minutes!$A$2:$A$43)),"-")</f>
        <v>0</v>
      </c>
      <c r="T159" s="108">
        <f>IFERROR(INDEX(lifespans_all!T$80:T$126,MATCH($A159,lifespans_all!$A$80:$A$126,0))*INDEX(SR_mission_minutes!T$2:T$43,MATCH($A159,SR_mission_minutes!$A$2:$A$43)),"-")</f>
        <v>0</v>
      </c>
      <c r="U159" s="108">
        <f>IFERROR(INDEX(lifespans_all!U$80:U$126,MATCH($A159,lifespans_all!$A$80:$A$126,0))*INDEX(SR_mission_minutes!U$2:U$43,MATCH($A159,SR_mission_minutes!$A$2:$A$43)),"-")</f>
        <v>0</v>
      </c>
      <c r="V159" s="108">
        <f>IFERROR(INDEX(lifespans_all!V$80:V$126,MATCH($A159,lifespans_all!$A$80:$A$126,0))*INDEX(SR_mission_minutes!V$2:V$43,MATCH($A159,SR_mission_minutes!$A$2:$A$43)),"-")</f>
        <v>0</v>
      </c>
    </row>
    <row r="160" spans="1:22" x14ac:dyDescent="0.25">
      <c r="A160" s="32" t="s">
        <v>23</v>
      </c>
      <c r="B160" s="32" t="s">
        <v>43</v>
      </c>
      <c r="C160" s="108">
        <f>IFERROR(INDEX(lifespans_all!C$158:C$212,MATCH($A160,lifespans_all!$A$158:$A$212,0))*INDEX(SR_mission_minutes!C$2:C$43,MATCH($A160,SR_mission_minutes!$A$2:$A$43)),"-")</f>
        <v>114879</v>
      </c>
      <c r="D160" s="108">
        <f>IFERROR(INDEX(lifespans_all!D$80:D$126,MATCH($A160,lifespans_all!$A$80:$A$126,0))*INDEX(SR_mission_minutes!D$2:D$43,MATCH($A160,SR_mission_minutes!$A$2:$A$43)),"-")</f>
        <v>114879</v>
      </c>
      <c r="E160" s="108">
        <f>IFERROR(INDEX(lifespans_all!E$80:E$126,MATCH($A160,lifespans_all!$A$80:$A$126,0))*INDEX(SR_mission_minutes!E$2:E$43,MATCH($A160,SR_mission_minutes!$A$2:$A$43)),"-")</f>
        <v>114879</v>
      </c>
      <c r="F160" s="108">
        <f>IFERROR(INDEX(lifespans_all!F$80:F$126,MATCH($A160,lifespans_all!$A$80:$A$126,0))*INDEX(SR_mission_minutes!F$2:F$43,MATCH($A160,SR_mission_minutes!$A$2:$A$43)),"-")</f>
        <v>114879</v>
      </c>
      <c r="G160" s="108">
        <f>IFERROR(INDEX(lifespans_all!G$80:G$126,MATCH($A160,lifespans_all!$A$80:$A$126,0))*INDEX(SR_mission_minutes!G$2:G$43,MATCH($A160,SR_mission_minutes!$A$2:$A$43)),"-")</f>
        <v>114879</v>
      </c>
      <c r="H160" s="108">
        <f>IFERROR(INDEX(lifespans_all!H$80:H$126,MATCH($A160,lifespans_all!$A$80:$A$126,0))*INDEX(SR_mission_minutes!H$2:H$43,MATCH($A160,SR_mission_minutes!$A$2:$A$43)),"-")</f>
        <v>114879</v>
      </c>
      <c r="I160" s="108">
        <f>IFERROR(INDEX(lifespans_all!I$80:I$126,MATCH($A160,lifespans_all!$A$80:$A$126,0))*INDEX(SR_mission_minutes!I$2:I$43,MATCH($A160,SR_mission_minutes!$A$2:$A$43)),"-")</f>
        <v>114879</v>
      </c>
      <c r="J160" s="108">
        <f>IFERROR(INDEX(lifespans_all!J$80:J$126,MATCH($A160,lifespans_all!$A$80:$A$126,0))*INDEX(SR_mission_minutes!J$2:J$43,MATCH($A160,SR_mission_minutes!$A$2:$A$43)),"-")</f>
        <v>114879</v>
      </c>
      <c r="K160" s="108">
        <f>IFERROR(INDEX(lifespans_all!K$80:K$126,MATCH($A160,lifespans_all!$A$80:$A$126,0))*INDEX(SR_mission_minutes!K$2:K$43,MATCH($A160,SR_mission_minutes!$A$2:$A$43)),"-")</f>
        <v>114879</v>
      </c>
      <c r="L160" s="108">
        <f>IFERROR(INDEX(lifespans_all!L$80:L$126,MATCH($A160,lifespans_all!$A$80:$A$126,0))*INDEX(SR_mission_minutes!L$2:L$43,MATCH($A160,SR_mission_minutes!$A$2:$A$43)),"-")</f>
        <v>114879</v>
      </c>
      <c r="M160" s="108">
        <f>IFERROR(INDEX(lifespans_all!M$80:M$126,MATCH($A160,lifespans_all!$A$80:$A$126,0))*INDEX(SR_mission_minutes!M$2:M$43,MATCH($A160,SR_mission_minutes!$A$2:$A$43)),"-")</f>
        <v>0</v>
      </c>
      <c r="N160" s="108">
        <f>IFERROR(INDEX(lifespans_all!N$80:N$126,MATCH($A160,lifespans_all!$A$80:$A$126,0))*INDEX(SR_mission_minutes!N$2:N$43,MATCH($A160,SR_mission_minutes!$A$2:$A$43)),"-")</f>
        <v>0</v>
      </c>
      <c r="O160" s="108">
        <f>IFERROR(INDEX(lifespans_all!O$80:O$126,MATCH($A160,lifespans_all!$A$80:$A$126,0))*INDEX(SR_mission_minutes!O$2:O$43,MATCH($A160,SR_mission_minutes!$A$2:$A$43)),"-")</f>
        <v>0</v>
      </c>
      <c r="P160" s="108">
        <f>IFERROR(INDEX(lifespans_all!P$80:P$126,MATCH($A160,lifespans_all!$A$80:$A$126,0))*INDEX(SR_mission_minutes!P$2:P$43,MATCH($A160,SR_mission_minutes!$A$2:$A$43)),"-")</f>
        <v>0</v>
      </c>
      <c r="Q160" s="108">
        <f>IFERROR(INDEX(lifespans_all!Q$80:Q$126,MATCH($A160,lifespans_all!$A$80:$A$126,0))*INDEX(SR_mission_minutes!Q$2:Q$43,MATCH($A160,SR_mission_minutes!$A$2:$A$43)),"-")</f>
        <v>0</v>
      </c>
      <c r="R160" s="108">
        <f>IFERROR(INDEX(lifespans_all!R$80:R$126,MATCH($A160,lifespans_all!$A$80:$A$126,0))*INDEX(SR_mission_minutes!R$2:R$43,MATCH($A160,SR_mission_minutes!$A$2:$A$43)),"-")</f>
        <v>0</v>
      </c>
      <c r="S160" s="108">
        <f>IFERROR(INDEX(lifespans_all!S$80:S$126,MATCH($A160,lifespans_all!$A$80:$A$126,0))*INDEX(SR_mission_minutes!S$2:S$43,MATCH($A160,SR_mission_minutes!$A$2:$A$43)),"-")</f>
        <v>0</v>
      </c>
      <c r="T160" s="108">
        <f>IFERROR(INDEX(lifespans_all!T$80:T$126,MATCH($A160,lifespans_all!$A$80:$A$126,0))*INDEX(SR_mission_minutes!T$2:T$43,MATCH($A160,SR_mission_minutes!$A$2:$A$43)),"-")</f>
        <v>0</v>
      </c>
      <c r="U160" s="108">
        <f>IFERROR(INDEX(lifespans_all!U$80:U$126,MATCH($A160,lifespans_all!$A$80:$A$126,0))*INDEX(SR_mission_minutes!U$2:U$43,MATCH($A160,SR_mission_minutes!$A$2:$A$43)),"-")</f>
        <v>0</v>
      </c>
      <c r="V160" s="108">
        <f>IFERROR(INDEX(lifespans_all!V$80:V$126,MATCH($A160,lifespans_all!$A$80:$A$126,0))*INDEX(SR_mission_minutes!V$2:V$43,MATCH($A160,SR_mission_minutes!$A$2:$A$43)),"-")</f>
        <v>0</v>
      </c>
    </row>
    <row r="161" spans="1:22" x14ac:dyDescent="0.25">
      <c r="A161" s="32" t="s">
        <v>24</v>
      </c>
      <c r="B161" s="32" t="s">
        <v>42</v>
      </c>
      <c r="C161" s="108">
        <f>IFERROR(INDEX(lifespans_all!C$158:C$212,MATCH($A161,lifespans_all!$A$158:$A$212,0))*INDEX(SR_mission_minutes!C$2:C$43,MATCH($A161,SR_mission_minutes!$A$2:$A$43)),"-")</f>
        <v>0</v>
      </c>
      <c r="D161" s="108">
        <f>IFERROR(INDEX(lifespans_all!D$80:D$126,MATCH($A161,lifespans_all!$A$80:$A$126,0))*INDEX(SR_mission_minutes!D$2:D$43,MATCH($A161,SR_mission_minutes!$A$2:$A$43)),"-")</f>
        <v>0</v>
      </c>
      <c r="E161" s="108">
        <f>IFERROR(INDEX(lifespans_all!E$80:E$126,MATCH($A161,lifespans_all!$A$80:$A$126,0))*INDEX(SR_mission_minutes!E$2:E$43,MATCH($A161,SR_mission_minutes!$A$2:$A$43)),"-")</f>
        <v>0</v>
      </c>
      <c r="F161" s="108">
        <f>IFERROR(INDEX(lifespans_all!F$80:F$126,MATCH($A161,lifespans_all!$A$80:$A$126,0))*INDEX(SR_mission_minutes!F$2:F$43,MATCH($A161,SR_mission_minutes!$A$2:$A$43)),"-")</f>
        <v>0</v>
      </c>
      <c r="G161" s="108">
        <f>IFERROR(INDEX(lifespans_all!G$80:G$126,MATCH($A161,lifespans_all!$A$80:$A$126,0))*INDEX(SR_mission_minutes!G$2:G$43,MATCH($A161,SR_mission_minutes!$A$2:$A$43)),"-")</f>
        <v>0</v>
      </c>
      <c r="H161" s="108">
        <f>IFERROR(INDEX(lifespans_all!H$80:H$126,MATCH($A161,lifespans_all!$A$80:$A$126,0))*INDEX(SR_mission_minutes!H$2:H$43,MATCH($A161,SR_mission_minutes!$A$2:$A$43)),"-")</f>
        <v>0</v>
      </c>
      <c r="I161" s="108">
        <f>IFERROR(INDEX(lifespans_all!I$80:I$126,MATCH($A161,lifespans_all!$A$80:$A$126,0))*INDEX(SR_mission_minutes!I$2:I$43,MATCH($A161,SR_mission_minutes!$A$2:$A$43)),"-")</f>
        <v>0</v>
      </c>
      <c r="J161" s="108">
        <f>IFERROR(INDEX(lifespans_all!J$80:J$126,MATCH($A161,lifespans_all!$A$80:$A$126,0))*INDEX(SR_mission_minutes!J$2:J$43,MATCH($A161,SR_mission_minutes!$A$2:$A$43)),"-")</f>
        <v>0</v>
      </c>
      <c r="K161" s="108">
        <f>IFERROR(INDEX(lifespans_all!K$80:K$126,MATCH($A161,lifespans_all!$A$80:$A$126,0))*INDEX(SR_mission_minutes!K$2:K$43,MATCH($A161,SR_mission_minutes!$A$2:$A$43)),"-")</f>
        <v>0</v>
      </c>
      <c r="L161" s="108">
        <f>IFERROR(INDEX(lifespans_all!L$80:L$126,MATCH($A161,lifespans_all!$A$80:$A$126,0))*INDEX(SR_mission_minutes!L$2:L$43,MATCH($A161,SR_mission_minutes!$A$2:$A$43)),"-")</f>
        <v>0</v>
      </c>
      <c r="M161" s="108">
        <f>IFERROR(INDEX(lifespans_all!M$80:M$126,MATCH($A161,lifespans_all!$A$80:$A$126,0))*INDEX(SR_mission_minutes!M$2:M$43,MATCH($A161,SR_mission_minutes!$A$2:$A$43)),"-")</f>
        <v>0</v>
      </c>
      <c r="N161" s="108">
        <f>IFERROR(INDEX(lifespans_all!N$80:N$126,MATCH($A161,lifespans_all!$A$80:$A$126,0))*INDEX(SR_mission_minutes!N$2:N$43,MATCH($A161,SR_mission_minutes!$A$2:$A$43)),"-")</f>
        <v>0</v>
      </c>
      <c r="O161" s="108">
        <f>IFERROR(INDEX(lifespans_all!O$80:O$126,MATCH($A161,lifespans_all!$A$80:$A$126,0))*INDEX(SR_mission_minutes!O$2:O$43,MATCH($A161,SR_mission_minutes!$A$2:$A$43)),"-")</f>
        <v>0</v>
      </c>
      <c r="P161" s="108">
        <f>IFERROR(INDEX(lifespans_all!P$80:P$126,MATCH($A161,lifespans_all!$A$80:$A$126,0))*INDEX(SR_mission_minutes!P$2:P$43,MATCH($A161,SR_mission_minutes!$A$2:$A$43)),"-")</f>
        <v>0</v>
      </c>
      <c r="Q161" s="108">
        <f>IFERROR(INDEX(lifespans_all!Q$80:Q$126,MATCH($A161,lifespans_all!$A$80:$A$126,0))*INDEX(SR_mission_minutes!Q$2:Q$43,MATCH($A161,SR_mission_minutes!$A$2:$A$43)),"-")</f>
        <v>0</v>
      </c>
      <c r="R161" s="108">
        <f>IFERROR(INDEX(lifespans_all!R$80:R$126,MATCH($A161,lifespans_all!$A$80:$A$126,0))*INDEX(SR_mission_minutes!R$2:R$43,MATCH($A161,SR_mission_minutes!$A$2:$A$43)),"-")</f>
        <v>0</v>
      </c>
      <c r="S161" s="108">
        <f>IFERROR(INDEX(lifespans_all!S$80:S$126,MATCH($A161,lifespans_all!$A$80:$A$126,0))*INDEX(SR_mission_minutes!S$2:S$43,MATCH($A161,SR_mission_minutes!$A$2:$A$43)),"-")</f>
        <v>0</v>
      </c>
      <c r="T161" s="108">
        <f>IFERROR(INDEX(lifespans_all!T$80:T$126,MATCH($A161,lifespans_all!$A$80:$A$126,0))*INDEX(SR_mission_minutes!T$2:T$43,MATCH($A161,SR_mission_minutes!$A$2:$A$43)),"-")</f>
        <v>0</v>
      </c>
      <c r="U161" s="108">
        <f>IFERROR(INDEX(lifespans_all!U$80:U$126,MATCH($A161,lifespans_all!$A$80:$A$126,0))*INDEX(SR_mission_minutes!U$2:U$43,MATCH($A161,SR_mission_minutes!$A$2:$A$43)),"-")</f>
        <v>0</v>
      </c>
      <c r="V161" s="108">
        <f>IFERROR(INDEX(lifespans_all!V$80:V$126,MATCH($A161,lifespans_all!$A$80:$A$126,0))*INDEX(SR_mission_minutes!V$2:V$43,MATCH($A161,SR_mission_minutes!$A$2:$A$43)),"-")</f>
        <v>0</v>
      </c>
    </row>
    <row r="162" spans="1:22" x14ac:dyDescent="0.25">
      <c r="A162" s="32" t="s">
        <v>25</v>
      </c>
      <c r="B162" s="32" t="s">
        <v>44</v>
      </c>
      <c r="C162" s="108">
        <f>IFERROR(INDEX(lifespans_all!C$158:C$212,MATCH($A162,lifespans_all!$A$158:$A$212,0))*INDEX(SR_mission_minutes!C$2:C$43,MATCH($A162,SR_mission_minutes!$A$2:$A$43)),"-")</f>
        <v>460.5</v>
      </c>
      <c r="D162" s="108">
        <f>IFERROR(INDEX(lifespans_all!D$80:D$126,MATCH($A162,lifespans_all!$A$80:$A$126,0))*INDEX(SR_mission_minutes!D$2:D$43,MATCH($A162,SR_mission_minutes!$A$2:$A$43)),"-")</f>
        <v>460.5</v>
      </c>
      <c r="E162" s="108">
        <f>IFERROR(INDEX(lifespans_all!E$80:E$126,MATCH($A162,lifespans_all!$A$80:$A$126,0))*INDEX(SR_mission_minutes!E$2:E$43,MATCH($A162,SR_mission_minutes!$A$2:$A$43)),"-")</f>
        <v>460.5</v>
      </c>
      <c r="F162" s="108">
        <f>IFERROR(INDEX(lifespans_all!F$80:F$126,MATCH($A162,lifespans_all!$A$80:$A$126,0))*INDEX(SR_mission_minutes!F$2:F$43,MATCH($A162,SR_mission_minutes!$A$2:$A$43)),"-")</f>
        <v>460.5</v>
      </c>
      <c r="G162" s="108">
        <f>IFERROR(INDEX(lifespans_all!G$80:G$126,MATCH($A162,lifespans_all!$A$80:$A$126,0))*INDEX(SR_mission_minutes!G$2:G$43,MATCH($A162,SR_mission_minutes!$A$2:$A$43)),"-")</f>
        <v>0</v>
      </c>
      <c r="H162" s="108">
        <f>IFERROR(INDEX(lifespans_all!H$80:H$126,MATCH($A162,lifespans_all!$A$80:$A$126,0))*INDEX(SR_mission_minutes!H$2:H$43,MATCH($A162,SR_mission_minutes!$A$2:$A$43)),"-")</f>
        <v>0</v>
      </c>
      <c r="I162" s="108">
        <f>IFERROR(INDEX(lifespans_all!I$80:I$126,MATCH($A162,lifespans_all!$A$80:$A$126,0))*INDEX(SR_mission_minutes!I$2:I$43,MATCH($A162,SR_mission_minutes!$A$2:$A$43)),"-")</f>
        <v>0</v>
      </c>
      <c r="J162" s="108">
        <f>IFERROR(INDEX(lifespans_all!J$80:J$126,MATCH($A162,lifespans_all!$A$80:$A$126,0))*INDEX(SR_mission_minutes!J$2:J$43,MATCH($A162,SR_mission_minutes!$A$2:$A$43)),"-")</f>
        <v>0</v>
      </c>
      <c r="K162" s="108">
        <f>IFERROR(INDEX(lifespans_all!K$80:K$126,MATCH($A162,lifespans_all!$A$80:$A$126,0))*INDEX(SR_mission_minutes!K$2:K$43,MATCH($A162,SR_mission_minutes!$A$2:$A$43)),"-")</f>
        <v>0</v>
      </c>
      <c r="L162" s="108">
        <f>IFERROR(INDEX(lifespans_all!L$80:L$126,MATCH($A162,lifespans_all!$A$80:$A$126,0))*INDEX(SR_mission_minutes!L$2:L$43,MATCH($A162,SR_mission_minutes!$A$2:$A$43)),"-")</f>
        <v>0</v>
      </c>
      <c r="M162" s="108">
        <f>IFERROR(INDEX(lifespans_all!M$80:M$126,MATCH($A162,lifespans_all!$A$80:$A$126,0))*INDEX(SR_mission_minutes!M$2:M$43,MATCH($A162,SR_mission_minutes!$A$2:$A$43)),"-")</f>
        <v>0</v>
      </c>
      <c r="N162" s="108">
        <f>IFERROR(INDEX(lifespans_all!N$80:N$126,MATCH($A162,lifespans_all!$A$80:$A$126,0))*INDEX(SR_mission_minutes!N$2:N$43,MATCH($A162,SR_mission_minutes!$A$2:$A$43)),"-")</f>
        <v>0</v>
      </c>
      <c r="O162" s="108">
        <f>IFERROR(INDEX(lifespans_all!O$80:O$126,MATCH($A162,lifespans_all!$A$80:$A$126,0))*INDEX(SR_mission_minutes!O$2:O$43,MATCH($A162,SR_mission_minutes!$A$2:$A$43)),"-")</f>
        <v>0</v>
      </c>
      <c r="P162" s="108">
        <f>IFERROR(INDEX(lifespans_all!P$80:P$126,MATCH($A162,lifespans_all!$A$80:$A$126,0))*INDEX(SR_mission_minutes!P$2:P$43,MATCH($A162,SR_mission_minutes!$A$2:$A$43)),"-")</f>
        <v>0</v>
      </c>
      <c r="Q162" s="108">
        <f>IFERROR(INDEX(lifespans_all!Q$80:Q$126,MATCH($A162,lifespans_all!$A$80:$A$126,0))*INDEX(SR_mission_minutes!Q$2:Q$43,MATCH($A162,SR_mission_minutes!$A$2:$A$43)),"-")</f>
        <v>0</v>
      </c>
      <c r="R162" s="108">
        <f>IFERROR(INDEX(lifespans_all!R$80:R$126,MATCH($A162,lifespans_all!$A$80:$A$126,0))*INDEX(SR_mission_minutes!R$2:R$43,MATCH($A162,SR_mission_minutes!$A$2:$A$43)),"-")</f>
        <v>0</v>
      </c>
      <c r="S162" s="108">
        <f>IFERROR(INDEX(lifespans_all!S$80:S$126,MATCH($A162,lifespans_all!$A$80:$A$126,0))*INDEX(SR_mission_minutes!S$2:S$43,MATCH($A162,SR_mission_minutes!$A$2:$A$43)),"-")</f>
        <v>0</v>
      </c>
      <c r="T162" s="108">
        <f>IFERROR(INDEX(lifespans_all!T$80:T$126,MATCH($A162,lifespans_all!$A$80:$A$126,0))*INDEX(SR_mission_minutes!T$2:T$43,MATCH($A162,SR_mission_minutes!$A$2:$A$43)),"-")</f>
        <v>0</v>
      </c>
      <c r="U162" s="108">
        <f>IFERROR(INDEX(lifespans_all!U$80:U$126,MATCH($A162,lifespans_all!$A$80:$A$126,0))*INDEX(SR_mission_minutes!U$2:U$43,MATCH($A162,SR_mission_minutes!$A$2:$A$43)),"-")</f>
        <v>0</v>
      </c>
      <c r="V162" s="108">
        <f>IFERROR(INDEX(lifespans_all!V$80:V$126,MATCH($A162,lifespans_all!$A$80:$A$126,0))*INDEX(SR_mission_minutes!V$2:V$43,MATCH($A162,SR_mission_minutes!$A$2:$A$43)),"-")</f>
        <v>0</v>
      </c>
    </row>
    <row r="163" spans="1:22" x14ac:dyDescent="0.25">
      <c r="A163" s="32" t="s">
        <v>58</v>
      </c>
      <c r="B163" s="32" t="s">
        <v>41</v>
      </c>
      <c r="C163" s="108">
        <f>IFERROR(INDEX(lifespans_all!C$158:C$212,MATCH($A163,lifespans_all!$A$158:$A$212,0))*INDEX(SR_mission_minutes!C$2:C$43,MATCH($A163,SR_mission_minutes!$A$2:$A$43)),"-")</f>
        <v>66700.388888888891</v>
      </c>
      <c r="D163" s="108">
        <f>IFERROR(INDEX(lifespans_all!D$80:D$126,MATCH($A163,lifespans_all!$A$80:$A$126,0))*INDEX(SR_mission_minutes!D$2:D$43,MATCH($A163,SR_mission_minutes!$A$2:$A$43)),"-")</f>
        <v>0</v>
      </c>
      <c r="E163" s="108">
        <f>IFERROR(INDEX(lifespans_all!E$80:E$126,MATCH($A163,lifespans_all!$A$80:$A$126,0))*INDEX(SR_mission_minutes!E$2:E$43,MATCH($A163,SR_mission_minutes!$A$2:$A$43)),"-")</f>
        <v>0</v>
      </c>
      <c r="F163" s="108">
        <f>IFERROR(INDEX(lifespans_all!F$80:F$126,MATCH($A163,lifespans_all!$A$80:$A$126,0))*INDEX(SR_mission_minutes!F$2:F$43,MATCH($A163,SR_mission_minutes!$A$2:$A$43)),"-")</f>
        <v>0</v>
      </c>
      <c r="G163" s="108">
        <f>IFERROR(INDEX(lifespans_all!G$80:G$126,MATCH($A163,lifespans_all!$A$80:$A$126,0))*INDEX(SR_mission_minutes!G$2:G$43,MATCH($A163,SR_mission_minutes!$A$2:$A$43)),"-")</f>
        <v>0</v>
      </c>
      <c r="H163" s="108">
        <f>IFERROR(INDEX(lifespans_all!H$80:H$126,MATCH($A163,lifespans_all!$A$80:$A$126,0))*INDEX(SR_mission_minutes!H$2:H$43,MATCH($A163,SR_mission_minutes!$A$2:$A$43)),"-")</f>
        <v>0</v>
      </c>
      <c r="I163" s="108">
        <f>IFERROR(INDEX(lifespans_all!I$80:I$126,MATCH($A163,lifespans_all!$A$80:$A$126,0))*INDEX(SR_mission_minutes!I$2:I$43,MATCH($A163,SR_mission_minutes!$A$2:$A$43)),"-")</f>
        <v>0</v>
      </c>
      <c r="J163" s="108">
        <f>IFERROR(INDEX(lifespans_all!J$80:J$126,MATCH($A163,lifespans_all!$A$80:$A$126,0))*INDEX(SR_mission_minutes!J$2:J$43,MATCH($A163,SR_mission_minutes!$A$2:$A$43)),"-")</f>
        <v>0</v>
      </c>
      <c r="K163" s="108">
        <f>IFERROR(INDEX(lifespans_all!K$80:K$126,MATCH($A163,lifespans_all!$A$80:$A$126,0))*INDEX(SR_mission_minutes!K$2:K$43,MATCH($A163,SR_mission_minutes!$A$2:$A$43)),"-")</f>
        <v>0</v>
      </c>
      <c r="L163" s="108">
        <f>IFERROR(INDEX(lifespans_all!L$80:L$126,MATCH($A163,lifespans_all!$A$80:$A$126,0))*INDEX(SR_mission_minutes!L$2:L$43,MATCH($A163,SR_mission_minutes!$A$2:$A$43)),"-")</f>
        <v>0</v>
      </c>
      <c r="M163" s="108">
        <f>IFERROR(INDEX(lifespans_all!M$80:M$126,MATCH($A163,lifespans_all!$A$80:$A$126,0))*INDEX(SR_mission_minutes!M$2:M$43,MATCH($A163,SR_mission_minutes!$A$2:$A$43)),"-")</f>
        <v>0</v>
      </c>
      <c r="N163" s="108">
        <f>IFERROR(INDEX(lifespans_all!N$80:N$126,MATCH($A163,lifespans_all!$A$80:$A$126,0))*INDEX(SR_mission_minutes!N$2:N$43,MATCH($A163,SR_mission_minutes!$A$2:$A$43)),"-")</f>
        <v>0</v>
      </c>
      <c r="O163" s="108">
        <f>IFERROR(INDEX(lifespans_all!O$80:O$126,MATCH($A163,lifespans_all!$A$80:$A$126,0))*INDEX(SR_mission_minutes!O$2:O$43,MATCH($A163,SR_mission_minutes!$A$2:$A$43)),"-")</f>
        <v>0</v>
      </c>
      <c r="P163" s="108">
        <f>IFERROR(INDEX(lifespans_all!P$80:P$126,MATCH($A163,lifespans_all!$A$80:$A$126,0))*INDEX(SR_mission_minutes!P$2:P$43,MATCH($A163,SR_mission_minutes!$A$2:$A$43)),"-")</f>
        <v>0</v>
      </c>
      <c r="Q163" s="108">
        <f>IFERROR(INDEX(lifespans_all!Q$80:Q$126,MATCH($A163,lifespans_all!$A$80:$A$126,0))*INDEX(SR_mission_minutes!Q$2:Q$43,MATCH($A163,SR_mission_minutes!$A$2:$A$43)),"-")</f>
        <v>0</v>
      </c>
      <c r="R163" s="108">
        <f>IFERROR(INDEX(lifespans_all!R$80:R$126,MATCH($A163,lifespans_all!$A$80:$A$126,0))*INDEX(SR_mission_minutes!R$2:R$43,MATCH($A163,SR_mission_minutes!$A$2:$A$43)),"-")</f>
        <v>0</v>
      </c>
      <c r="S163" s="108">
        <f>IFERROR(INDEX(lifespans_all!S$80:S$126,MATCH($A163,lifespans_all!$A$80:$A$126,0))*INDEX(SR_mission_minutes!S$2:S$43,MATCH($A163,SR_mission_minutes!$A$2:$A$43)),"-")</f>
        <v>0</v>
      </c>
      <c r="T163" s="108">
        <f>IFERROR(INDEX(lifespans_all!T$80:T$126,MATCH($A163,lifespans_all!$A$80:$A$126,0))*INDEX(SR_mission_minutes!T$2:T$43,MATCH($A163,SR_mission_minutes!$A$2:$A$43)),"-")</f>
        <v>0</v>
      </c>
      <c r="U163" s="108">
        <f>IFERROR(INDEX(lifespans_all!U$80:U$126,MATCH($A163,lifespans_all!$A$80:$A$126,0))*INDEX(SR_mission_minutes!U$2:U$43,MATCH($A163,SR_mission_minutes!$A$2:$A$43)),"-")</f>
        <v>0</v>
      </c>
      <c r="V163" s="108">
        <f>IFERROR(INDEX(lifespans_all!V$80:V$126,MATCH($A163,lifespans_all!$A$80:$A$126,0))*INDEX(SR_mission_minutes!V$2:V$43,MATCH($A163,SR_mission_minutes!$A$2:$A$43)),"-")</f>
        <v>0</v>
      </c>
    </row>
    <row r="164" spans="1:22" x14ac:dyDescent="0.25">
      <c r="A164" s="32" t="s">
        <v>59</v>
      </c>
      <c r="B164" s="32" t="s">
        <v>41</v>
      </c>
      <c r="C164" s="108">
        <f>IFERROR(INDEX(lifespans_all!C$158:C$212,MATCH($A164,lifespans_all!$A$158:$A$212,0))*INDEX(SR_mission_minutes!C$2:C$43,MATCH($A164,SR_mission_minutes!$A$2:$A$43)),"-")</f>
        <v>66700.388888888891</v>
      </c>
      <c r="D164" s="108">
        <f>IFERROR(INDEX(lifespans_all!D$80:D$126,MATCH($A164,lifespans_all!$A$80:$A$126,0))*INDEX(SR_mission_minutes!D$2:D$43,MATCH($A164,SR_mission_minutes!$A$2:$A$43)),"-")</f>
        <v>66700.388888888891</v>
      </c>
      <c r="E164" s="108">
        <f>IFERROR(INDEX(lifespans_all!E$80:E$126,MATCH($A164,lifespans_all!$A$80:$A$126,0))*INDEX(SR_mission_minutes!E$2:E$43,MATCH($A164,SR_mission_minutes!$A$2:$A$43)),"-")</f>
        <v>66700.388888888891</v>
      </c>
      <c r="F164" s="108">
        <f>IFERROR(INDEX(lifespans_all!F$80:F$126,MATCH($A164,lifespans_all!$A$80:$A$126,0))*INDEX(SR_mission_minutes!F$2:F$43,MATCH($A164,SR_mission_minutes!$A$2:$A$43)),"-")</f>
        <v>0</v>
      </c>
      <c r="G164" s="108">
        <f>IFERROR(INDEX(lifespans_all!G$80:G$126,MATCH($A164,lifespans_all!$A$80:$A$126,0))*INDEX(SR_mission_minutes!G$2:G$43,MATCH($A164,SR_mission_minutes!$A$2:$A$43)),"-")</f>
        <v>0</v>
      </c>
      <c r="H164" s="108">
        <f>IFERROR(INDEX(lifespans_all!H$80:H$126,MATCH($A164,lifespans_all!$A$80:$A$126,0))*INDEX(SR_mission_minutes!H$2:H$43,MATCH($A164,SR_mission_minutes!$A$2:$A$43)),"-")</f>
        <v>0</v>
      </c>
      <c r="I164" s="108">
        <f>IFERROR(INDEX(lifespans_all!I$80:I$126,MATCH($A164,lifespans_all!$A$80:$A$126,0))*INDEX(SR_mission_minutes!I$2:I$43,MATCH($A164,SR_mission_minutes!$A$2:$A$43)),"-")</f>
        <v>0</v>
      </c>
      <c r="J164" s="108">
        <f>IFERROR(INDEX(lifespans_all!J$80:J$126,MATCH($A164,lifespans_all!$A$80:$A$126,0))*INDEX(SR_mission_minutes!J$2:J$43,MATCH($A164,SR_mission_minutes!$A$2:$A$43)),"-")</f>
        <v>0</v>
      </c>
      <c r="K164" s="108">
        <f>IFERROR(INDEX(lifespans_all!K$80:K$126,MATCH($A164,lifespans_all!$A$80:$A$126,0))*INDEX(SR_mission_minutes!K$2:K$43,MATCH($A164,SR_mission_minutes!$A$2:$A$43)),"-")</f>
        <v>0</v>
      </c>
      <c r="L164" s="108">
        <f>IFERROR(INDEX(lifespans_all!L$80:L$126,MATCH($A164,lifespans_all!$A$80:$A$126,0))*INDEX(SR_mission_minutes!L$2:L$43,MATCH($A164,SR_mission_minutes!$A$2:$A$43)),"-")</f>
        <v>0</v>
      </c>
      <c r="M164" s="108">
        <f>IFERROR(INDEX(lifespans_all!M$80:M$126,MATCH($A164,lifespans_all!$A$80:$A$126,0))*INDEX(SR_mission_minutes!M$2:M$43,MATCH($A164,SR_mission_minutes!$A$2:$A$43)),"-")</f>
        <v>0</v>
      </c>
      <c r="N164" s="108">
        <f>IFERROR(INDEX(lifespans_all!N$80:N$126,MATCH($A164,lifespans_all!$A$80:$A$126,0))*INDEX(SR_mission_minutes!N$2:N$43,MATCH($A164,SR_mission_minutes!$A$2:$A$43)),"-")</f>
        <v>0</v>
      </c>
      <c r="O164" s="108">
        <f>IFERROR(INDEX(lifespans_all!O$80:O$126,MATCH($A164,lifespans_all!$A$80:$A$126,0))*INDEX(SR_mission_minutes!O$2:O$43,MATCH($A164,SR_mission_minutes!$A$2:$A$43)),"-")</f>
        <v>0</v>
      </c>
      <c r="P164" s="108">
        <f>IFERROR(INDEX(lifespans_all!P$80:P$126,MATCH($A164,lifespans_all!$A$80:$A$126,0))*INDEX(SR_mission_minutes!P$2:P$43,MATCH($A164,SR_mission_minutes!$A$2:$A$43)),"-")</f>
        <v>0</v>
      </c>
      <c r="Q164" s="108">
        <f>IFERROR(INDEX(lifespans_all!Q$80:Q$126,MATCH($A164,lifespans_all!$A$80:$A$126,0))*INDEX(SR_mission_minutes!Q$2:Q$43,MATCH($A164,SR_mission_minutes!$A$2:$A$43)),"-")</f>
        <v>0</v>
      </c>
      <c r="R164" s="108">
        <f>IFERROR(INDEX(lifespans_all!R$80:R$126,MATCH($A164,lifespans_all!$A$80:$A$126,0))*INDEX(SR_mission_minutes!R$2:R$43,MATCH($A164,SR_mission_minutes!$A$2:$A$43)),"-")</f>
        <v>0</v>
      </c>
      <c r="S164" s="108">
        <f>IFERROR(INDEX(lifespans_all!S$80:S$126,MATCH($A164,lifespans_all!$A$80:$A$126,0))*INDEX(SR_mission_minutes!S$2:S$43,MATCH($A164,SR_mission_minutes!$A$2:$A$43)),"-")</f>
        <v>0</v>
      </c>
      <c r="T164" s="108">
        <f>IFERROR(INDEX(lifespans_all!T$80:T$126,MATCH($A164,lifespans_all!$A$80:$A$126,0))*INDEX(SR_mission_minutes!T$2:T$43,MATCH($A164,SR_mission_minutes!$A$2:$A$43)),"-")</f>
        <v>0</v>
      </c>
      <c r="U164" s="108">
        <f>IFERROR(INDEX(lifespans_all!U$80:U$126,MATCH($A164,lifespans_all!$A$80:$A$126,0))*INDEX(SR_mission_minutes!U$2:U$43,MATCH($A164,SR_mission_minutes!$A$2:$A$43)),"-")</f>
        <v>0</v>
      </c>
      <c r="V164" s="108">
        <f>IFERROR(INDEX(lifespans_all!V$80:V$126,MATCH($A164,lifespans_all!$A$80:$A$126,0))*INDEX(SR_mission_minutes!V$2:V$43,MATCH($A164,SR_mission_minutes!$A$2:$A$43)),"-")</f>
        <v>0</v>
      </c>
    </row>
    <row r="165" spans="1:22" x14ac:dyDescent="0.25">
      <c r="A165" s="32" t="s">
        <v>60</v>
      </c>
      <c r="B165" s="32" t="s">
        <v>41</v>
      </c>
      <c r="C165" s="108">
        <f>IFERROR(INDEX(lifespans_all!C$158:C$212,MATCH($A165,lifespans_all!$A$158:$A$212,0))*INDEX(SR_mission_minutes!C$2:C$43,MATCH($A165,SR_mission_minutes!$A$2:$A$43)),"-")</f>
        <v>66700.388888888891</v>
      </c>
      <c r="D165" s="108">
        <f>IFERROR(INDEX(lifespans_all!D$80:D$126,MATCH($A165,lifespans_all!$A$80:$A$126,0))*INDEX(SR_mission_minutes!D$2:D$43,MATCH($A165,SR_mission_minutes!$A$2:$A$43)),"-")</f>
        <v>66700.388888888891</v>
      </c>
      <c r="E165" s="108">
        <f>IFERROR(INDEX(lifespans_all!E$80:E$126,MATCH($A165,lifespans_all!$A$80:$A$126,0))*INDEX(SR_mission_minutes!E$2:E$43,MATCH($A165,SR_mission_minutes!$A$2:$A$43)),"-")</f>
        <v>66700.388888888891</v>
      </c>
      <c r="F165" s="108">
        <f>IFERROR(INDEX(lifespans_all!F$80:F$126,MATCH($A165,lifespans_all!$A$80:$A$126,0))*INDEX(SR_mission_minutes!F$2:F$43,MATCH($A165,SR_mission_minutes!$A$2:$A$43)),"-")</f>
        <v>66700.388888888891</v>
      </c>
      <c r="G165" s="108">
        <f>IFERROR(INDEX(lifespans_all!G$80:G$126,MATCH($A165,lifespans_all!$A$80:$A$126,0))*INDEX(SR_mission_minutes!G$2:G$43,MATCH($A165,SR_mission_minutes!$A$2:$A$43)),"-")</f>
        <v>66700.388888888891</v>
      </c>
      <c r="H165" s="108">
        <f>IFERROR(INDEX(lifespans_all!H$80:H$126,MATCH($A165,lifespans_all!$A$80:$A$126,0))*INDEX(SR_mission_minutes!H$2:H$43,MATCH($A165,SR_mission_minutes!$A$2:$A$43)),"-")</f>
        <v>66700.388888888891</v>
      </c>
      <c r="I165" s="108">
        <f>IFERROR(INDEX(lifespans_all!I$80:I$126,MATCH($A165,lifespans_all!$A$80:$A$126,0))*INDEX(SR_mission_minutes!I$2:I$43,MATCH($A165,SR_mission_minutes!$A$2:$A$43)),"-")</f>
        <v>0</v>
      </c>
      <c r="J165" s="108">
        <f>IFERROR(INDEX(lifespans_all!J$80:J$126,MATCH($A165,lifespans_all!$A$80:$A$126,0))*INDEX(SR_mission_minutes!J$2:J$43,MATCH($A165,SR_mission_minutes!$A$2:$A$43)),"-")</f>
        <v>0</v>
      </c>
      <c r="K165" s="108">
        <f>IFERROR(INDEX(lifespans_all!K$80:K$126,MATCH($A165,lifespans_all!$A$80:$A$126,0))*INDEX(SR_mission_minutes!K$2:K$43,MATCH($A165,SR_mission_minutes!$A$2:$A$43)),"-")</f>
        <v>0</v>
      </c>
      <c r="L165" s="108">
        <f>IFERROR(INDEX(lifespans_all!L$80:L$126,MATCH($A165,lifespans_all!$A$80:$A$126,0))*INDEX(SR_mission_minutes!L$2:L$43,MATCH($A165,SR_mission_minutes!$A$2:$A$43)),"-")</f>
        <v>0</v>
      </c>
      <c r="M165" s="108">
        <f>IFERROR(INDEX(lifespans_all!M$80:M$126,MATCH($A165,lifespans_all!$A$80:$A$126,0))*INDEX(SR_mission_minutes!M$2:M$43,MATCH($A165,SR_mission_minutes!$A$2:$A$43)),"-")</f>
        <v>0</v>
      </c>
      <c r="N165" s="108">
        <f>IFERROR(INDEX(lifespans_all!N$80:N$126,MATCH($A165,lifespans_all!$A$80:$A$126,0))*INDEX(SR_mission_minutes!N$2:N$43,MATCH($A165,SR_mission_minutes!$A$2:$A$43)),"-")</f>
        <v>0</v>
      </c>
      <c r="O165" s="108">
        <f>IFERROR(INDEX(lifespans_all!O$80:O$126,MATCH($A165,lifespans_all!$A$80:$A$126,0))*INDEX(SR_mission_minutes!O$2:O$43,MATCH($A165,SR_mission_minutes!$A$2:$A$43)),"-")</f>
        <v>0</v>
      </c>
      <c r="P165" s="108">
        <f>IFERROR(INDEX(lifespans_all!P$80:P$126,MATCH($A165,lifespans_all!$A$80:$A$126,0))*INDEX(SR_mission_minutes!P$2:P$43,MATCH($A165,SR_mission_minutes!$A$2:$A$43)),"-")</f>
        <v>0</v>
      </c>
      <c r="Q165" s="108">
        <f>IFERROR(INDEX(lifespans_all!Q$80:Q$126,MATCH($A165,lifespans_all!$A$80:$A$126,0))*INDEX(SR_mission_minutes!Q$2:Q$43,MATCH($A165,SR_mission_minutes!$A$2:$A$43)),"-")</f>
        <v>0</v>
      </c>
      <c r="R165" s="108">
        <f>IFERROR(INDEX(lifespans_all!R$80:R$126,MATCH($A165,lifespans_all!$A$80:$A$126,0))*INDEX(SR_mission_minutes!R$2:R$43,MATCH($A165,SR_mission_minutes!$A$2:$A$43)),"-")</f>
        <v>0</v>
      </c>
      <c r="S165" s="108">
        <f>IFERROR(INDEX(lifespans_all!S$80:S$126,MATCH($A165,lifespans_all!$A$80:$A$126,0))*INDEX(SR_mission_minutes!S$2:S$43,MATCH($A165,SR_mission_minutes!$A$2:$A$43)),"-")</f>
        <v>0</v>
      </c>
      <c r="T165" s="108">
        <f>IFERROR(INDEX(lifespans_all!T$80:T$126,MATCH($A165,lifespans_all!$A$80:$A$126,0))*INDEX(SR_mission_minutes!T$2:T$43,MATCH($A165,SR_mission_minutes!$A$2:$A$43)),"-")</f>
        <v>0</v>
      </c>
      <c r="U165" s="108">
        <f>IFERROR(INDEX(lifespans_all!U$80:U$126,MATCH($A165,lifespans_all!$A$80:$A$126,0))*INDEX(SR_mission_minutes!U$2:U$43,MATCH($A165,SR_mission_minutes!$A$2:$A$43)),"-")</f>
        <v>0</v>
      </c>
      <c r="V165" s="108">
        <f>IFERROR(INDEX(lifespans_all!V$80:V$126,MATCH($A165,lifespans_all!$A$80:$A$126,0))*INDEX(SR_mission_minutes!V$2:V$43,MATCH($A165,SR_mission_minutes!$A$2:$A$43)),"-")</f>
        <v>0</v>
      </c>
    </row>
    <row r="166" spans="1:22" x14ac:dyDescent="0.25">
      <c r="A166" s="32" t="s">
        <v>26</v>
      </c>
      <c r="B166" s="32" t="s">
        <v>45</v>
      </c>
      <c r="C166" s="108">
        <f>IFERROR(INDEX(lifespans_all!C$158:C$212,MATCH($A166,lifespans_all!$A$158:$A$212,0))*INDEX(SR_mission_minutes!C$2:C$43,MATCH($A166,SR_mission_minutes!$A$2:$A$43)),"-")</f>
        <v>33739.333333333336</v>
      </c>
      <c r="D166" s="108">
        <f>IFERROR(INDEX(lifespans_all!D$80:D$126,MATCH($A166,lifespans_all!$A$80:$A$126,0))*INDEX(SR_mission_minutes!D$2:D$43,MATCH($A166,SR_mission_minutes!$A$2:$A$43)),"-")</f>
        <v>33739.333333333336</v>
      </c>
      <c r="E166" s="108">
        <f>IFERROR(INDEX(lifespans_all!E$80:E$126,MATCH($A166,lifespans_all!$A$80:$A$126,0))*INDEX(SR_mission_minutes!E$2:E$43,MATCH($A166,SR_mission_minutes!$A$2:$A$43)),"-")</f>
        <v>33739.333333333336</v>
      </c>
      <c r="F166" s="108">
        <f>IFERROR(INDEX(lifespans_all!F$80:F$126,MATCH($A166,lifespans_all!$A$80:$A$126,0))*INDEX(SR_mission_minutes!F$2:F$43,MATCH($A166,SR_mission_minutes!$A$2:$A$43)),"-")</f>
        <v>33739.333333333336</v>
      </c>
      <c r="G166" s="108">
        <f>IFERROR(INDEX(lifespans_all!G$80:G$126,MATCH($A166,lifespans_all!$A$80:$A$126,0))*INDEX(SR_mission_minutes!G$2:G$43,MATCH($A166,SR_mission_minutes!$A$2:$A$43)),"-")</f>
        <v>33739.333333333336</v>
      </c>
      <c r="H166" s="108">
        <f>IFERROR(INDEX(lifespans_all!H$80:H$126,MATCH($A166,lifespans_all!$A$80:$A$126,0))*INDEX(SR_mission_minutes!H$2:H$43,MATCH($A166,SR_mission_minutes!$A$2:$A$43)),"-")</f>
        <v>33739.333333333336</v>
      </c>
      <c r="I166" s="108">
        <f>IFERROR(INDEX(lifespans_all!I$80:I$126,MATCH($A166,lifespans_all!$A$80:$A$126,0))*INDEX(SR_mission_minutes!I$2:I$43,MATCH($A166,SR_mission_minutes!$A$2:$A$43)),"-")</f>
        <v>33739.333333333336</v>
      </c>
      <c r="J166" s="108">
        <f>IFERROR(INDEX(lifespans_all!J$80:J$126,MATCH($A166,lifespans_all!$A$80:$A$126,0))*INDEX(SR_mission_minutes!J$2:J$43,MATCH($A166,SR_mission_minutes!$A$2:$A$43)),"-")</f>
        <v>33739.333333333336</v>
      </c>
      <c r="K166" s="108">
        <f>IFERROR(INDEX(lifespans_all!K$80:K$126,MATCH($A166,lifespans_all!$A$80:$A$126,0))*INDEX(SR_mission_minutes!K$2:K$43,MATCH($A166,SR_mission_minutes!$A$2:$A$43)),"-")</f>
        <v>33739.333333333336</v>
      </c>
      <c r="L166" s="108">
        <f>IFERROR(INDEX(lifespans_all!L$80:L$126,MATCH($A166,lifespans_all!$A$80:$A$126,0))*INDEX(SR_mission_minutes!L$2:L$43,MATCH($A166,SR_mission_minutes!$A$2:$A$43)),"-")</f>
        <v>33739.333333333336</v>
      </c>
      <c r="M166" s="108">
        <f>IFERROR(INDEX(lifespans_all!M$80:M$126,MATCH($A166,lifespans_all!$A$80:$A$126,0))*INDEX(SR_mission_minutes!M$2:M$43,MATCH($A166,SR_mission_minutes!$A$2:$A$43)),"-")</f>
        <v>33739.333333333336</v>
      </c>
      <c r="N166" s="108">
        <f>IFERROR(INDEX(lifespans_all!N$80:N$126,MATCH($A166,lifespans_all!$A$80:$A$126,0))*INDEX(SR_mission_minutes!N$2:N$43,MATCH($A166,SR_mission_minutes!$A$2:$A$43)),"-")</f>
        <v>33739.333333333336</v>
      </c>
      <c r="O166" s="108">
        <f>IFERROR(INDEX(lifespans_all!O$80:O$126,MATCH($A166,lifespans_all!$A$80:$A$126,0))*INDEX(SR_mission_minutes!O$2:O$43,MATCH($A166,SR_mission_minutes!$A$2:$A$43)),"-")</f>
        <v>33739.333333333336</v>
      </c>
      <c r="P166" s="108">
        <f>IFERROR(INDEX(lifespans_all!P$80:P$126,MATCH($A166,lifespans_all!$A$80:$A$126,0))*INDEX(SR_mission_minutes!P$2:P$43,MATCH($A166,SR_mission_minutes!$A$2:$A$43)),"-")</f>
        <v>33739.333333333336</v>
      </c>
      <c r="Q166" s="108">
        <f>IFERROR(INDEX(lifespans_all!Q$80:Q$126,MATCH($A166,lifespans_all!$A$80:$A$126,0))*INDEX(SR_mission_minutes!Q$2:Q$43,MATCH($A166,SR_mission_minutes!$A$2:$A$43)),"-")</f>
        <v>33739.333333333336</v>
      </c>
      <c r="R166" s="108">
        <f>IFERROR(INDEX(lifespans_all!R$80:R$126,MATCH($A166,lifespans_all!$A$80:$A$126,0))*INDEX(SR_mission_minutes!R$2:R$43,MATCH($A166,SR_mission_minutes!$A$2:$A$43)),"-")</f>
        <v>33739.333333333336</v>
      </c>
      <c r="S166" s="108">
        <f>IFERROR(INDEX(lifespans_all!S$80:S$126,MATCH($A166,lifespans_all!$A$80:$A$126,0))*INDEX(SR_mission_minutes!S$2:S$43,MATCH($A166,SR_mission_minutes!$A$2:$A$43)),"-")</f>
        <v>33739.333333333336</v>
      </c>
      <c r="T166" s="108">
        <f>IFERROR(INDEX(lifespans_all!T$80:T$126,MATCH($A166,lifespans_all!$A$80:$A$126,0))*INDEX(SR_mission_minutes!T$2:T$43,MATCH($A166,SR_mission_minutes!$A$2:$A$43)),"-")</f>
        <v>33739.333333333336</v>
      </c>
      <c r="U166" s="108">
        <f>IFERROR(INDEX(lifespans_all!U$80:U$126,MATCH($A166,lifespans_all!$A$80:$A$126,0))*INDEX(SR_mission_minutes!U$2:U$43,MATCH($A166,SR_mission_minutes!$A$2:$A$43)),"-")</f>
        <v>33739.333333333336</v>
      </c>
      <c r="V166" s="108">
        <f>IFERROR(INDEX(lifespans_all!V$80:V$126,MATCH($A166,lifespans_all!$A$80:$A$126,0))*INDEX(SR_mission_minutes!V$2:V$43,MATCH($A166,SR_mission_minutes!$A$2:$A$43)),"-")</f>
        <v>33739.333333333336</v>
      </c>
    </row>
    <row r="167" spans="1:22" x14ac:dyDescent="0.25">
      <c r="A167" s="32" t="s">
        <v>61</v>
      </c>
      <c r="B167" s="32" t="s">
        <v>42</v>
      </c>
      <c r="C167" s="108">
        <f>IFERROR(INDEX(lifespans_all!C$158:C$212,MATCH($A167,lifespans_all!$A$158:$A$212,0))*INDEX(SR_mission_minutes!C$2:C$43,MATCH($A167,SR_mission_minutes!$A$2:$A$43)),"-")</f>
        <v>2294</v>
      </c>
      <c r="D167" s="108">
        <f>IFERROR(INDEX(lifespans_all!D$80:D$126,MATCH($A167,lifespans_all!$A$80:$A$126,0))*INDEX(SR_mission_minutes!D$2:D$43,MATCH($A167,SR_mission_minutes!$A$2:$A$43)),"-")</f>
        <v>2294</v>
      </c>
      <c r="E167" s="108">
        <f>IFERROR(INDEX(lifespans_all!E$80:E$126,MATCH($A167,lifespans_all!$A$80:$A$126,0))*INDEX(SR_mission_minutes!E$2:E$43,MATCH($A167,SR_mission_minutes!$A$2:$A$43)),"-")</f>
        <v>2294</v>
      </c>
      <c r="F167" s="108">
        <f>IFERROR(INDEX(lifespans_all!F$80:F$126,MATCH($A167,lifespans_all!$A$80:$A$126,0))*INDEX(SR_mission_minutes!F$2:F$43,MATCH($A167,SR_mission_minutes!$A$2:$A$43)),"-")</f>
        <v>2294</v>
      </c>
      <c r="G167" s="108">
        <f>IFERROR(INDEX(lifespans_all!G$80:G$126,MATCH($A167,lifespans_all!$A$80:$A$126,0))*INDEX(SR_mission_minutes!G$2:G$43,MATCH($A167,SR_mission_minutes!$A$2:$A$43)),"-")</f>
        <v>2294</v>
      </c>
      <c r="H167" s="108">
        <f>IFERROR(INDEX(lifespans_all!H$80:H$126,MATCH($A167,lifespans_all!$A$80:$A$126,0))*INDEX(SR_mission_minutes!H$2:H$43,MATCH($A167,SR_mission_minutes!$A$2:$A$43)),"-")</f>
        <v>2294</v>
      </c>
      <c r="I167" s="108">
        <f>IFERROR(INDEX(lifespans_all!I$80:I$126,MATCH($A167,lifespans_all!$A$80:$A$126,0))*INDEX(SR_mission_minutes!I$2:I$43,MATCH($A167,SR_mission_minutes!$A$2:$A$43)),"-")</f>
        <v>2294</v>
      </c>
      <c r="J167" s="108">
        <f>IFERROR(INDEX(lifespans_all!J$80:J$126,MATCH($A167,lifespans_all!$A$80:$A$126,0))*INDEX(SR_mission_minutes!J$2:J$43,MATCH($A167,SR_mission_minutes!$A$2:$A$43)),"-")</f>
        <v>2294</v>
      </c>
      <c r="K167" s="108">
        <f>IFERROR(INDEX(lifespans_all!K$80:K$126,MATCH($A167,lifespans_all!$A$80:$A$126,0))*INDEX(SR_mission_minutes!K$2:K$43,MATCH($A167,SR_mission_minutes!$A$2:$A$43)),"-")</f>
        <v>2294</v>
      </c>
      <c r="L167" s="108">
        <f>IFERROR(INDEX(lifespans_all!L$80:L$126,MATCH($A167,lifespans_all!$A$80:$A$126,0))*INDEX(SR_mission_minutes!L$2:L$43,MATCH($A167,SR_mission_minutes!$A$2:$A$43)),"-")</f>
        <v>2294</v>
      </c>
      <c r="M167" s="108">
        <f>IFERROR(INDEX(lifespans_all!M$80:M$126,MATCH($A167,lifespans_all!$A$80:$A$126,0))*INDEX(SR_mission_minutes!M$2:M$43,MATCH($A167,SR_mission_minutes!$A$2:$A$43)),"-")</f>
        <v>2294</v>
      </c>
      <c r="N167" s="108">
        <f>IFERROR(INDEX(lifespans_all!N$80:N$126,MATCH($A167,lifespans_all!$A$80:$A$126,0))*INDEX(SR_mission_minutes!N$2:N$43,MATCH($A167,SR_mission_minutes!$A$2:$A$43)),"-")</f>
        <v>2294</v>
      </c>
      <c r="O167" s="108">
        <f>IFERROR(INDEX(lifespans_all!O$80:O$126,MATCH($A167,lifespans_all!$A$80:$A$126,0))*INDEX(SR_mission_minutes!O$2:O$43,MATCH($A167,SR_mission_minutes!$A$2:$A$43)),"-")</f>
        <v>2294</v>
      </c>
      <c r="P167" s="108">
        <f>IFERROR(INDEX(lifespans_all!P$80:P$126,MATCH($A167,lifespans_all!$A$80:$A$126,0))*INDEX(SR_mission_minutes!P$2:P$43,MATCH($A167,SR_mission_minutes!$A$2:$A$43)),"-")</f>
        <v>2294</v>
      </c>
      <c r="Q167" s="108">
        <f>IFERROR(INDEX(lifespans_all!Q$80:Q$126,MATCH($A167,lifespans_all!$A$80:$A$126,0))*INDEX(SR_mission_minutes!Q$2:Q$43,MATCH($A167,SR_mission_minutes!$A$2:$A$43)),"-")</f>
        <v>2294</v>
      </c>
      <c r="R167" s="108">
        <f>IFERROR(INDEX(lifespans_all!R$80:R$126,MATCH($A167,lifespans_all!$A$80:$A$126,0))*INDEX(SR_mission_minutes!R$2:R$43,MATCH($A167,SR_mission_minutes!$A$2:$A$43)),"-")</f>
        <v>2294</v>
      </c>
      <c r="S167" s="108">
        <f>IFERROR(INDEX(lifespans_all!S$80:S$126,MATCH($A167,lifespans_all!$A$80:$A$126,0))*INDEX(SR_mission_minutes!S$2:S$43,MATCH($A167,SR_mission_minutes!$A$2:$A$43)),"-")</f>
        <v>2294</v>
      </c>
      <c r="T167" s="108">
        <f>IFERROR(INDEX(lifespans_all!T$80:T$126,MATCH($A167,lifespans_all!$A$80:$A$126,0))*INDEX(SR_mission_minutes!T$2:T$43,MATCH($A167,SR_mission_minutes!$A$2:$A$43)),"-")</f>
        <v>2294</v>
      </c>
      <c r="U167" s="108">
        <f>IFERROR(INDEX(lifespans_all!U$80:U$126,MATCH($A167,lifespans_all!$A$80:$A$126,0))*INDEX(SR_mission_minutes!U$2:U$43,MATCH($A167,SR_mission_minutes!$A$2:$A$43)),"-")</f>
        <v>2294</v>
      </c>
      <c r="V167" s="108">
        <f>IFERROR(INDEX(lifespans_all!V$80:V$126,MATCH($A167,lifespans_all!$A$80:$A$126,0))*INDEX(SR_mission_minutes!V$2:V$43,MATCH($A167,SR_mission_minutes!$A$2:$A$43)),"-")</f>
        <v>2294</v>
      </c>
    </row>
    <row r="168" spans="1:22" x14ac:dyDescent="0.25">
      <c r="A168" s="32" t="s">
        <v>115</v>
      </c>
      <c r="B168" s="32" t="s">
        <v>40</v>
      </c>
      <c r="C168" s="108" t="str">
        <f>IFERROR(INDEX(lifespans_all!C$158:C$212,MATCH($A168,lifespans_all!$A$158:$A$212,0))*INDEX(SR_mission_minutes!C$2:C$43,MATCH($A168,SR_mission_minutes!$A$2:$A$43)),"-")</f>
        <v>-</v>
      </c>
      <c r="D168" s="108" t="str">
        <f>IFERROR(INDEX(lifespans_all!D$80:D$126,MATCH($A168,lifespans_all!$A$80:$A$126,0))*INDEX(SR_mission_minutes!D$2:D$43,MATCH($A168,SR_mission_minutes!$A$2:$A$43)),"-")</f>
        <v>-</v>
      </c>
      <c r="E168" s="108" t="str">
        <f>IFERROR(INDEX(lifespans_all!E$80:E$126,MATCH($A168,lifespans_all!$A$80:$A$126,0))*INDEX(SR_mission_minutes!E$2:E$43,MATCH($A168,SR_mission_minutes!$A$2:$A$43)),"-")</f>
        <v>-</v>
      </c>
      <c r="F168" s="108" t="str">
        <f>IFERROR(INDEX(lifespans_all!F$80:F$126,MATCH($A168,lifespans_all!$A$80:$A$126,0))*INDEX(SR_mission_minutes!F$2:F$43,MATCH($A168,SR_mission_minutes!$A$2:$A$43)),"-")</f>
        <v>-</v>
      </c>
      <c r="G168" s="108" t="str">
        <f>IFERROR(INDEX(lifespans_all!G$80:G$126,MATCH($A168,lifespans_all!$A$80:$A$126,0))*INDEX(SR_mission_minutes!G$2:G$43,MATCH($A168,SR_mission_minutes!$A$2:$A$43)),"-")</f>
        <v>-</v>
      </c>
      <c r="H168" s="108" t="str">
        <f>IFERROR(INDEX(lifespans_all!H$80:H$126,MATCH($A168,lifespans_all!$A$80:$A$126,0))*INDEX(SR_mission_minutes!H$2:H$43,MATCH($A168,SR_mission_minutes!$A$2:$A$43)),"-")</f>
        <v>-</v>
      </c>
      <c r="I168" s="108" t="str">
        <f>IFERROR(INDEX(lifespans_all!I$80:I$126,MATCH($A168,lifespans_all!$A$80:$A$126,0))*INDEX(SR_mission_minutes!I$2:I$43,MATCH($A168,SR_mission_minutes!$A$2:$A$43)),"-")</f>
        <v>-</v>
      </c>
      <c r="J168" s="108" t="str">
        <f>IFERROR(INDEX(lifespans_all!J$80:J$126,MATCH($A168,lifespans_all!$A$80:$A$126,0))*INDEX(SR_mission_minutes!J$2:J$43,MATCH($A168,SR_mission_minutes!$A$2:$A$43)),"-")</f>
        <v>-</v>
      </c>
      <c r="K168" s="108" t="str">
        <f>IFERROR(INDEX(lifespans_all!K$80:K$126,MATCH($A168,lifespans_all!$A$80:$A$126,0))*INDEX(SR_mission_minutes!K$2:K$43,MATCH($A168,SR_mission_minutes!$A$2:$A$43)),"-")</f>
        <v>-</v>
      </c>
      <c r="L168" s="108" t="str">
        <f>IFERROR(INDEX(lifespans_all!L$80:L$126,MATCH($A168,lifespans_all!$A$80:$A$126,0))*INDEX(SR_mission_minutes!L$2:L$43,MATCH($A168,SR_mission_minutes!$A$2:$A$43)),"-")</f>
        <v>-</v>
      </c>
      <c r="M168" s="108" t="str">
        <f>IFERROR(INDEX(lifespans_all!M$80:M$126,MATCH($A168,lifespans_all!$A$80:$A$126,0))*INDEX(SR_mission_minutes!M$2:M$43,MATCH($A168,SR_mission_minutes!$A$2:$A$43)),"-")</f>
        <v>-</v>
      </c>
      <c r="N168" s="108" t="str">
        <f>IFERROR(INDEX(lifespans_all!N$80:N$126,MATCH($A168,lifespans_all!$A$80:$A$126,0))*INDEX(SR_mission_minutes!N$2:N$43,MATCH($A168,SR_mission_minutes!$A$2:$A$43)),"-")</f>
        <v>-</v>
      </c>
      <c r="O168" s="108" t="str">
        <f>IFERROR(INDEX(lifespans_all!O$80:O$126,MATCH($A168,lifespans_all!$A$80:$A$126,0))*INDEX(SR_mission_minutes!O$2:O$43,MATCH($A168,SR_mission_minutes!$A$2:$A$43)),"-")</f>
        <v>-</v>
      </c>
      <c r="P168" s="108" t="str">
        <f>IFERROR(INDEX(lifespans_all!P$80:P$126,MATCH($A168,lifespans_all!$A$80:$A$126,0))*INDEX(SR_mission_minutes!P$2:P$43,MATCH($A168,SR_mission_minutes!$A$2:$A$43)),"-")</f>
        <v>-</v>
      </c>
      <c r="Q168" s="108" t="str">
        <f>IFERROR(INDEX(lifespans_all!Q$80:Q$126,MATCH($A168,lifespans_all!$A$80:$A$126,0))*INDEX(SR_mission_minutes!Q$2:Q$43,MATCH($A168,SR_mission_minutes!$A$2:$A$43)),"-")</f>
        <v>-</v>
      </c>
      <c r="R168" s="108" t="str">
        <f>IFERROR(INDEX(lifespans_all!R$80:R$126,MATCH($A168,lifespans_all!$A$80:$A$126,0))*INDEX(SR_mission_minutes!R$2:R$43,MATCH($A168,SR_mission_minutes!$A$2:$A$43)),"-")</f>
        <v>-</v>
      </c>
      <c r="S168" s="108" t="str">
        <f>IFERROR(INDEX(lifespans_all!S$80:S$126,MATCH($A168,lifespans_all!$A$80:$A$126,0))*INDEX(SR_mission_minutes!S$2:S$43,MATCH($A168,SR_mission_minutes!$A$2:$A$43)),"-")</f>
        <v>-</v>
      </c>
      <c r="T168" s="108" t="str">
        <f>IFERROR(INDEX(lifespans_all!T$80:T$126,MATCH($A168,lifespans_all!$A$80:$A$126,0))*INDEX(SR_mission_minutes!T$2:T$43,MATCH($A168,SR_mission_minutes!$A$2:$A$43)),"-")</f>
        <v>-</v>
      </c>
      <c r="U168" s="108" t="str">
        <f>IFERROR(INDEX(lifespans_all!U$80:U$126,MATCH($A168,lifespans_all!$A$80:$A$126,0))*INDEX(SR_mission_minutes!U$2:U$43,MATCH($A168,SR_mission_minutes!$A$2:$A$43)),"-")</f>
        <v>-</v>
      </c>
      <c r="V168" s="108" t="str">
        <f>IFERROR(INDEX(lifespans_all!V$80:V$126,MATCH($A168,lifespans_all!$A$80:$A$126,0))*INDEX(SR_mission_minutes!V$2:V$43,MATCH($A168,SR_mission_minutes!$A$2:$A$43)),"-")</f>
        <v>-</v>
      </c>
    </row>
    <row r="169" spans="1:22" x14ac:dyDescent="0.25">
      <c r="A169" s="32" t="s">
        <v>116</v>
      </c>
      <c r="B169" s="32" t="s">
        <v>40</v>
      </c>
      <c r="C169" s="108" t="str">
        <f>IFERROR(INDEX(lifespans_all!C$158:C$212,MATCH($A169,lifespans_all!$A$158:$A$212,0))*INDEX(SR_mission_minutes!C$2:C$43,MATCH($A169,SR_mission_minutes!$A$2:$A$43)),"-")</f>
        <v>-</v>
      </c>
      <c r="D169" s="108" t="str">
        <f>IFERROR(INDEX(lifespans_all!D$80:D$126,MATCH($A169,lifespans_all!$A$80:$A$126,0))*INDEX(SR_mission_minutes!D$2:D$43,MATCH($A169,SR_mission_minutes!$A$2:$A$43)),"-")</f>
        <v>-</v>
      </c>
      <c r="E169" s="108" t="str">
        <f>IFERROR(INDEX(lifespans_all!E$80:E$126,MATCH($A169,lifespans_all!$A$80:$A$126,0))*INDEX(SR_mission_minutes!E$2:E$43,MATCH($A169,SR_mission_minutes!$A$2:$A$43)),"-")</f>
        <v>-</v>
      </c>
      <c r="F169" s="108" t="str">
        <f>IFERROR(INDEX(lifespans_all!F$80:F$126,MATCH($A169,lifespans_all!$A$80:$A$126,0))*INDEX(SR_mission_minutes!F$2:F$43,MATCH($A169,SR_mission_minutes!$A$2:$A$43)),"-")</f>
        <v>-</v>
      </c>
      <c r="G169" s="108" t="str">
        <f>IFERROR(INDEX(lifespans_all!G$80:G$126,MATCH($A169,lifespans_all!$A$80:$A$126,0))*INDEX(SR_mission_minutes!G$2:G$43,MATCH($A169,SR_mission_minutes!$A$2:$A$43)),"-")</f>
        <v>-</v>
      </c>
      <c r="H169" s="108" t="str">
        <f>IFERROR(INDEX(lifespans_all!H$80:H$126,MATCH($A169,lifespans_all!$A$80:$A$126,0))*INDEX(SR_mission_minutes!H$2:H$43,MATCH($A169,SR_mission_minutes!$A$2:$A$43)),"-")</f>
        <v>-</v>
      </c>
      <c r="I169" s="108" t="str">
        <f>IFERROR(INDEX(lifespans_all!I$80:I$126,MATCH($A169,lifespans_all!$A$80:$A$126,0))*INDEX(SR_mission_minutes!I$2:I$43,MATCH($A169,SR_mission_minutes!$A$2:$A$43)),"-")</f>
        <v>-</v>
      </c>
      <c r="J169" s="108" t="str">
        <f>IFERROR(INDEX(lifespans_all!J$80:J$126,MATCH($A169,lifespans_all!$A$80:$A$126,0))*INDEX(SR_mission_minutes!J$2:J$43,MATCH($A169,SR_mission_minutes!$A$2:$A$43)),"-")</f>
        <v>-</v>
      </c>
      <c r="K169" s="108" t="str">
        <f>IFERROR(INDEX(lifespans_all!K$80:K$126,MATCH($A169,lifespans_all!$A$80:$A$126,0))*INDEX(SR_mission_minutes!K$2:K$43,MATCH($A169,SR_mission_minutes!$A$2:$A$43)),"-")</f>
        <v>-</v>
      </c>
      <c r="L169" s="108" t="str">
        <f>IFERROR(INDEX(lifespans_all!L$80:L$126,MATCH($A169,lifespans_all!$A$80:$A$126,0))*INDEX(SR_mission_minutes!L$2:L$43,MATCH($A169,SR_mission_minutes!$A$2:$A$43)),"-")</f>
        <v>-</v>
      </c>
      <c r="M169" s="108" t="str">
        <f>IFERROR(INDEX(lifespans_all!M$80:M$126,MATCH($A169,lifespans_all!$A$80:$A$126,0))*INDEX(SR_mission_minutes!M$2:M$43,MATCH($A169,SR_mission_minutes!$A$2:$A$43)),"-")</f>
        <v>-</v>
      </c>
      <c r="N169" s="108" t="str">
        <f>IFERROR(INDEX(lifespans_all!N$80:N$126,MATCH($A169,lifespans_all!$A$80:$A$126,0))*INDEX(SR_mission_minutes!N$2:N$43,MATCH($A169,SR_mission_minutes!$A$2:$A$43)),"-")</f>
        <v>-</v>
      </c>
      <c r="O169" s="108" t="str">
        <f>IFERROR(INDEX(lifespans_all!O$80:O$126,MATCH($A169,lifespans_all!$A$80:$A$126,0))*INDEX(SR_mission_minutes!O$2:O$43,MATCH($A169,SR_mission_minutes!$A$2:$A$43)),"-")</f>
        <v>-</v>
      </c>
      <c r="P169" s="108" t="str">
        <f>IFERROR(INDEX(lifespans_all!P$80:P$126,MATCH($A169,lifespans_all!$A$80:$A$126,0))*INDEX(SR_mission_minutes!P$2:P$43,MATCH($A169,SR_mission_minutes!$A$2:$A$43)),"-")</f>
        <v>-</v>
      </c>
      <c r="Q169" s="108" t="str">
        <f>IFERROR(INDEX(lifespans_all!Q$80:Q$126,MATCH($A169,lifespans_all!$A$80:$A$126,0))*INDEX(SR_mission_minutes!Q$2:Q$43,MATCH($A169,SR_mission_minutes!$A$2:$A$43)),"-")</f>
        <v>-</v>
      </c>
      <c r="R169" s="108" t="str">
        <f>IFERROR(INDEX(lifespans_all!R$80:R$126,MATCH($A169,lifespans_all!$A$80:$A$126,0))*INDEX(SR_mission_minutes!R$2:R$43,MATCH($A169,SR_mission_minutes!$A$2:$A$43)),"-")</f>
        <v>-</v>
      </c>
      <c r="S169" s="108" t="str">
        <f>IFERROR(INDEX(lifespans_all!S$80:S$126,MATCH($A169,lifespans_all!$A$80:$A$126,0))*INDEX(SR_mission_minutes!S$2:S$43,MATCH($A169,SR_mission_minutes!$A$2:$A$43)),"-")</f>
        <v>-</v>
      </c>
      <c r="T169" s="108" t="str">
        <f>IFERROR(INDEX(lifespans_all!T$80:T$126,MATCH($A169,lifespans_all!$A$80:$A$126,0))*INDEX(SR_mission_minutes!T$2:T$43,MATCH($A169,SR_mission_minutes!$A$2:$A$43)),"-")</f>
        <v>-</v>
      </c>
      <c r="U169" s="108" t="str">
        <f>IFERROR(INDEX(lifespans_all!U$80:U$126,MATCH($A169,lifespans_all!$A$80:$A$126,0))*INDEX(SR_mission_minutes!U$2:U$43,MATCH($A169,SR_mission_minutes!$A$2:$A$43)),"-")</f>
        <v>-</v>
      </c>
      <c r="V169" s="108" t="str">
        <f>IFERROR(INDEX(lifespans_all!V$80:V$126,MATCH($A169,lifespans_all!$A$80:$A$126,0))*INDEX(SR_mission_minutes!V$2:V$43,MATCH($A169,SR_mission_minutes!$A$2:$A$43)),"-")</f>
        <v>-</v>
      </c>
    </row>
    <row r="170" spans="1:22" x14ac:dyDescent="0.25">
      <c r="A170" s="32" t="s">
        <v>117</v>
      </c>
      <c r="B170" s="32" t="s">
        <v>40</v>
      </c>
      <c r="C170" s="108" t="str">
        <f>IFERROR(INDEX(lifespans_all!C$158:C$212,MATCH($A170,lifespans_all!$A$158:$A$212,0))*INDEX(SR_mission_minutes!C$2:C$43,MATCH($A170,SR_mission_minutes!$A$2:$A$43)),"-")</f>
        <v>-</v>
      </c>
      <c r="D170" s="108" t="str">
        <f>IFERROR(INDEX(lifespans_all!D$80:D$126,MATCH($A170,lifespans_all!$A$80:$A$126,0))*INDEX(SR_mission_minutes!D$2:D$43,MATCH($A170,SR_mission_minutes!$A$2:$A$43)),"-")</f>
        <v>-</v>
      </c>
      <c r="E170" s="108" t="str">
        <f>IFERROR(INDEX(lifespans_all!E$80:E$126,MATCH($A170,lifespans_all!$A$80:$A$126,0))*INDEX(SR_mission_minutes!E$2:E$43,MATCH($A170,SR_mission_minutes!$A$2:$A$43)),"-")</f>
        <v>-</v>
      </c>
      <c r="F170" s="108" t="str">
        <f>IFERROR(INDEX(lifespans_all!F$80:F$126,MATCH($A170,lifespans_all!$A$80:$A$126,0))*INDEX(SR_mission_minutes!F$2:F$43,MATCH($A170,SR_mission_minutes!$A$2:$A$43)),"-")</f>
        <v>-</v>
      </c>
      <c r="G170" s="108" t="str">
        <f>IFERROR(INDEX(lifespans_all!G$80:G$126,MATCH($A170,lifespans_all!$A$80:$A$126,0))*INDEX(SR_mission_minutes!G$2:G$43,MATCH($A170,SR_mission_minutes!$A$2:$A$43)),"-")</f>
        <v>-</v>
      </c>
      <c r="H170" s="108" t="str">
        <f>IFERROR(INDEX(lifespans_all!H$80:H$126,MATCH($A170,lifespans_all!$A$80:$A$126,0))*INDEX(SR_mission_minutes!H$2:H$43,MATCH($A170,SR_mission_minutes!$A$2:$A$43)),"-")</f>
        <v>-</v>
      </c>
      <c r="I170" s="108" t="str">
        <f>IFERROR(INDEX(lifespans_all!I$80:I$126,MATCH($A170,lifespans_all!$A$80:$A$126,0))*INDEX(SR_mission_minutes!I$2:I$43,MATCH($A170,SR_mission_minutes!$A$2:$A$43)),"-")</f>
        <v>-</v>
      </c>
      <c r="J170" s="108" t="str">
        <f>IFERROR(INDEX(lifespans_all!J$80:J$126,MATCH($A170,lifespans_all!$A$80:$A$126,0))*INDEX(SR_mission_minutes!J$2:J$43,MATCH($A170,SR_mission_minutes!$A$2:$A$43)),"-")</f>
        <v>-</v>
      </c>
      <c r="K170" s="108" t="str">
        <f>IFERROR(INDEX(lifespans_all!K$80:K$126,MATCH($A170,lifespans_all!$A$80:$A$126,0))*INDEX(SR_mission_minutes!K$2:K$43,MATCH($A170,SR_mission_minutes!$A$2:$A$43)),"-")</f>
        <v>-</v>
      </c>
      <c r="L170" s="108" t="str">
        <f>IFERROR(INDEX(lifespans_all!L$80:L$126,MATCH($A170,lifespans_all!$A$80:$A$126,0))*INDEX(SR_mission_minutes!L$2:L$43,MATCH($A170,SR_mission_minutes!$A$2:$A$43)),"-")</f>
        <v>-</v>
      </c>
      <c r="M170" s="108" t="str">
        <f>IFERROR(INDEX(lifespans_all!M$80:M$126,MATCH($A170,lifespans_all!$A$80:$A$126,0))*INDEX(SR_mission_minutes!M$2:M$43,MATCH($A170,SR_mission_minutes!$A$2:$A$43)),"-")</f>
        <v>-</v>
      </c>
      <c r="N170" s="108" t="str">
        <f>IFERROR(INDEX(lifespans_all!N$80:N$126,MATCH($A170,lifespans_all!$A$80:$A$126,0))*INDEX(SR_mission_minutes!N$2:N$43,MATCH($A170,SR_mission_minutes!$A$2:$A$43)),"-")</f>
        <v>-</v>
      </c>
      <c r="O170" s="108" t="str">
        <f>IFERROR(INDEX(lifespans_all!O$80:O$126,MATCH($A170,lifespans_all!$A$80:$A$126,0))*INDEX(SR_mission_minutes!O$2:O$43,MATCH($A170,SR_mission_minutes!$A$2:$A$43)),"-")</f>
        <v>-</v>
      </c>
      <c r="P170" s="108" t="str">
        <f>IFERROR(INDEX(lifespans_all!P$80:P$126,MATCH($A170,lifespans_all!$A$80:$A$126,0))*INDEX(SR_mission_minutes!P$2:P$43,MATCH($A170,SR_mission_minutes!$A$2:$A$43)),"-")</f>
        <v>-</v>
      </c>
      <c r="Q170" s="108" t="str">
        <f>IFERROR(INDEX(lifespans_all!Q$80:Q$126,MATCH($A170,lifespans_all!$A$80:$A$126,0))*INDEX(SR_mission_minutes!Q$2:Q$43,MATCH($A170,SR_mission_minutes!$A$2:$A$43)),"-")</f>
        <v>-</v>
      </c>
      <c r="R170" s="108" t="str">
        <f>IFERROR(INDEX(lifespans_all!R$80:R$126,MATCH($A170,lifespans_all!$A$80:$A$126,0))*INDEX(SR_mission_minutes!R$2:R$43,MATCH($A170,SR_mission_minutes!$A$2:$A$43)),"-")</f>
        <v>-</v>
      </c>
      <c r="S170" s="108" t="str">
        <f>IFERROR(INDEX(lifespans_all!S$80:S$126,MATCH($A170,lifespans_all!$A$80:$A$126,0))*INDEX(SR_mission_minutes!S$2:S$43,MATCH($A170,SR_mission_minutes!$A$2:$A$43)),"-")</f>
        <v>-</v>
      </c>
      <c r="T170" s="108" t="str">
        <f>IFERROR(INDEX(lifespans_all!T$80:T$126,MATCH($A170,lifespans_all!$A$80:$A$126,0))*INDEX(SR_mission_minutes!T$2:T$43,MATCH($A170,SR_mission_minutes!$A$2:$A$43)),"-")</f>
        <v>-</v>
      </c>
      <c r="U170" s="108" t="str">
        <f>IFERROR(INDEX(lifespans_all!U$80:U$126,MATCH($A170,lifespans_all!$A$80:$A$126,0))*INDEX(SR_mission_minutes!U$2:U$43,MATCH($A170,SR_mission_minutes!$A$2:$A$43)),"-")</f>
        <v>-</v>
      </c>
      <c r="V170" s="108" t="str">
        <f>IFERROR(INDEX(lifespans_all!V$80:V$126,MATCH($A170,lifespans_all!$A$80:$A$126,0))*INDEX(SR_mission_minutes!V$2:V$43,MATCH($A170,SR_mission_minutes!$A$2:$A$43)),"-")</f>
        <v>-</v>
      </c>
    </row>
    <row r="171" spans="1:22" x14ac:dyDescent="0.25">
      <c r="A171" s="32" t="s">
        <v>118</v>
      </c>
      <c r="B171" s="32" t="s">
        <v>40</v>
      </c>
      <c r="C171" s="108" t="str">
        <f>IFERROR(INDEX(lifespans_all!C$158:C$212,MATCH($A171,lifespans_all!$A$158:$A$212,0))*INDEX(SR_mission_minutes!C$2:C$43,MATCH($A171,SR_mission_minutes!$A$2:$A$43)),"-")</f>
        <v>-</v>
      </c>
      <c r="D171" s="108" t="str">
        <f>IFERROR(INDEX(lifespans_all!D$80:D$126,MATCH($A171,lifespans_all!$A$80:$A$126,0))*INDEX(SR_mission_minutes!D$2:D$43,MATCH($A171,SR_mission_minutes!$A$2:$A$43)),"-")</f>
        <v>-</v>
      </c>
      <c r="E171" s="108" t="str">
        <f>IFERROR(INDEX(lifespans_all!E$80:E$126,MATCH($A171,lifespans_all!$A$80:$A$126,0))*INDEX(SR_mission_minutes!E$2:E$43,MATCH($A171,SR_mission_minutes!$A$2:$A$43)),"-")</f>
        <v>-</v>
      </c>
      <c r="F171" s="108" t="str">
        <f>IFERROR(INDEX(lifespans_all!F$80:F$126,MATCH($A171,lifespans_all!$A$80:$A$126,0))*INDEX(SR_mission_minutes!F$2:F$43,MATCH($A171,SR_mission_minutes!$A$2:$A$43)),"-")</f>
        <v>-</v>
      </c>
      <c r="G171" s="108" t="str">
        <f>IFERROR(INDEX(lifespans_all!G$80:G$126,MATCH($A171,lifespans_all!$A$80:$A$126,0))*INDEX(SR_mission_minutes!G$2:G$43,MATCH($A171,SR_mission_minutes!$A$2:$A$43)),"-")</f>
        <v>-</v>
      </c>
      <c r="H171" s="108" t="str">
        <f>IFERROR(INDEX(lifespans_all!H$80:H$126,MATCH($A171,lifespans_all!$A$80:$A$126,0))*INDEX(SR_mission_minutes!H$2:H$43,MATCH($A171,SR_mission_minutes!$A$2:$A$43)),"-")</f>
        <v>-</v>
      </c>
      <c r="I171" s="108" t="str">
        <f>IFERROR(INDEX(lifespans_all!I$80:I$126,MATCH($A171,lifespans_all!$A$80:$A$126,0))*INDEX(SR_mission_minutes!I$2:I$43,MATCH($A171,SR_mission_minutes!$A$2:$A$43)),"-")</f>
        <v>-</v>
      </c>
      <c r="J171" s="108" t="str">
        <f>IFERROR(INDEX(lifespans_all!J$80:J$126,MATCH($A171,lifespans_all!$A$80:$A$126,0))*INDEX(SR_mission_minutes!J$2:J$43,MATCH($A171,SR_mission_minutes!$A$2:$A$43)),"-")</f>
        <v>-</v>
      </c>
      <c r="K171" s="108" t="str">
        <f>IFERROR(INDEX(lifespans_all!K$80:K$126,MATCH($A171,lifespans_all!$A$80:$A$126,0))*INDEX(SR_mission_minutes!K$2:K$43,MATCH($A171,SR_mission_minutes!$A$2:$A$43)),"-")</f>
        <v>-</v>
      </c>
      <c r="L171" s="108" t="str">
        <f>IFERROR(INDEX(lifespans_all!L$80:L$126,MATCH($A171,lifespans_all!$A$80:$A$126,0))*INDEX(SR_mission_minutes!L$2:L$43,MATCH($A171,SR_mission_minutes!$A$2:$A$43)),"-")</f>
        <v>-</v>
      </c>
      <c r="M171" s="108" t="str">
        <f>IFERROR(INDEX(lifespans_all!M$80:M$126,MATCH($A171,lifespans_all!$A$80:$A$126,0))*INDEX(SR_mission_minutes!M$2:M$43,MATCH($A171,SR_mission_minutes!$A$2:$A$43)),"-")</f>
        <v>-</v>
      </c>
      <c r="N171" s="108" t="str">
        <f>IFERROR(INDEX(lifespans_all!N$80:N$126,MATCH($A171,lifespans_all!$A$80:$A$126,0))*INDEX(SR_mission_minutes!N$2:N$43,MATCH($A171,SR_mission_minutes!$A$2:$A$43)),"-")</f>
        <v>-</v>
      </c>
      <c r="O171" s="108" t="str">
        <f>IFERROR(INDEX(lifespans_all!O$80:O$126,MATCH($A171,lifespans_all!$A$80:$A$126,0))*INDEX(SR_mission_minutes!O$2:O$43,MATCH($A171,SR_mission_minutes!$A$2:$A$43)),"-")</f>
        <v>-</v>
      </c>
      <c r="P171" s="108" t="str">
        <f>IFERROR(INDEX(lifespans_all!P$80:P$126,MATCH($A171,lifespans_all!$A$80:$A$126,0))*INDEX(SR_mission_minutes!P$2:P$43,MATCH($A171,SR_mission_minutes!$A$2:$A$43)),"-")</f>
        <v>-</v>
      </c>
      <c r="Q171" s="108" t="str">
        <f>IFERROR(INDEX(lifespans_all!Q$80:Q$126,MATCH($A171,lifespans_all!$A$80:$A$126,0))*INDEX(SR_mission_minutes!Q$2:Q$43,MATCH($A171,SR_mission_minutes!$A$2:$A$43)),"-")</f>
        <v>-</v>
      </c>
      <c r="R171" s="108" t="str">
        <f>IFERROR(INDEX(lifespans_all!R$80:R$126,MATCH($A171,lifespans_all!$A$80:$A$126,0))*INDEX(SR_mission_minutes!R$2:R$43,MATCH($A171,SR_mission_minutes!$A$2:$A$43)),"-")</f>
        <v>-</v>
      </c>
      <c r="S171" s="108" t="str">
        <f>IFERROR(INDEX(lifespans_all!S$80:S$126,MATCH($A171,lifespans_all!$A$80:$A$126,0))*INDEX(SR_mission_minutes!S$2:S$43,MATCH($A171,SR_mission_minutes!$A$2:$A$43)),"-")</f>
        <v>-</v>
      </c>
      <c r="T171" s="108" t="str">
        <f>IFERROR(INDEX(lifespans_all!T$80:T$126,MATCH($A171,lifespans_all!$A$80:$A$126,0))*INDEX(SR_mission_minutes!T$2:T$43,MATCH($A171,SR_mission_minutes!$A$2:$A$43)),"-")</f>
        <v>-</v>
      </c>
      <c r="U171" s="108" t="str">
        <f>IFERROR(INDEX(lifespans_all!U$80:U$126,MATCH($A171,lifespans_all!$A$80:$A$126,0))*INDEX(SR_mission_minutes!U$2:U$43,MATCH($A171,SR_mission_minutes!$A$2:$A$43)),"-")</f>
        <v>-</v>
      </c>
      <c r="V171" s="108" t="str">
        <f>IFERROR(INDEX(lifespans_all!V$80:V$126,MATCH($A171,lifespans_all!$A$80:$A$126,0))*INDEX(SR_mission_minutes!V$2:V$43,MATCH($A171,SR_mission_minutes!$A$2:$A$43)),"-")</f>
        <v>-</v>
      </c>
    </row>
    <row r="172" spans="1:22" x14ac:dyDescent="0.25">
      <c r="A172" s="32" t="s">
        <v>27</v>
      </c>
      <c r="B172" s="32" t="s">
        <v>45</v>
      </c>
      <c r="C172" s="108">
        <f>IFERROR(INDEX(lifespans_all!C$158:C$212,MATCH($A172,lifespans_all!$A$158:$A$212,0))*INDEX(SR_mission_minutes!C$2:C$43,MATCH($A172,SR_mission_minutes!$A$2:$A$43)),"-")</f>
        <v>33739.333333333336</v>
      </c>
      <c r="D172" s="108">
        <f>IFERROR(INDEX(lifespans_all!D$80:D$126,MATCH($A172,lifespans_all!$A$80:$A$126,0))*INDEX(SR_mission_minutes!D$2:D$43,MATCH($A172,SR_mission_minutes!$A$2:$A$43)),"-")</f>
        <v>0</v>
      </c>
      <c r="E172" s="108">
        <f>IFERROR(INDEX(lifespans_all!E$80:E$126,MATCH($A172,lifespans_all!$A$80:$A$126,0))*INDEX(SR_mission_minutes!E$2:E$43,MATCH($A172,SR_mission_minutes!$A$2:$A$43)),"-")</f>
        <v>0</v>
      </c>
      <c r="F172" s="108">
        <f>IFERROR(INDEX(lifespans_all!F$80:F$126,MATCH($A172,lifespans_all!$A$80:$A$126,0))*INDEX(SR_mission_minutes!F$2:F$43,MATCH($A172,SR_mission_minutes!$A$2:$A$43)),"-")</f>
        <v>0</v>
      </c>
      <c r="G172" s="108">
        <f>IFERROR(INDEX(lifespans_all!G$80:G$126,MATCH($A172,lifespans_all!$A$80:$A$126,0))*INDEX(SR_mission_minutes!G$2:G$43,MATCH($A172,SR_mission_minutes!$A$2:$A$43)),"-")</f>
        <v>0</v>
      </c>
      <c r="H172" s="108">
        <f>IFERROR(INDEX(lifespans_all!H$80:H$126,MATCH($A172,lifespans_all!$A$80:$A$126,0))*INDEX(SR_mission_minutes!H$2:H$43,MATCH($A172,SR_mission_minutes!$A$2:$A$43)),"-")</f>
        <v>0</v>
      </c>
      <c r="I172" s="108">
        <f>IFERROR(INDEX(lifespans_all!I$80:I$126,MATCH($A172,lifespans_all!$A$80:$A$126,0))*INDEX(SR_mission_minutes!I$2:I$43,MATCH($A172,SR_mission_minutes!$A$2:$A$43)),"-")</f>
        <v>0</v>
      </c>
      <c r="J172" s="108">
        <f>IFERROR(INDEX(lifespans_all!J$80:J$126,MATCH($A172,lifespans_all!$A$80:$A$126,0))*INDEX(SR_mission_minutes!J$2:J$43,MATCH($A172,SR_mission_minutes!$A$2:$A$43)),"-")</f>
        <v>0</v>
      </c>
      <c r="K172" s="108">
        <f>IFERROR(INDEX(lifespans_all!K$80:K$126,MATCH($A172,lifespans_all!$A$80:$A$126,0))*INDEX(SR_mission_minutes!K$2:K$43,MATCH($A172,SR_mission_minutes!$A$2:$A$43)),"-")</f>
        <v>0</v>
      </c>
      <c r="L172" s="108">
        <f>IFERROR(INDEX(lifespans_all!L$80:L$126,MATCH($A172,lifespans_all!$A$80:$A$126,0))*INDEX(SR_mission_minutes!L$2:L$43,MATCH($A172,SR_mission_minutes!$A$2:$A$43)),"-")</f>
        <v>0</v>
      </c>
      <c r="M172" s="108">
        <f>IFERROR(INDEX(lifespans_all!M$80:M$126,MATCH($A172,lifespans_all!$A$80:$A$126,0))*INDEX(SR_mission_minutes!M$2:M$43,MATCH($A172,SR_mission_minutes!$A$2:$A$43)),"-")</f>
        <v>0</v>
      </c>
      <c r="N172" s="108">
        <f>IFERROR(INDEX(lifespans_all!N$80:N$126,MATCH($A172,lifespans_all!$A$80:$A$126,0))*INDEX(SR_mission_minutes!N$2:N$43,MATCH($A172,SR_mission_minutes!$A$2:$A$43)),"-")</f>
        <v>0</v>
      </c>
      <c r="O172" s="108">
        <f>IFERROR(INDEX(lifespans_all!O$80:O$126,MATCH($A172,lifespans_all!$A$80:$A$126,0))*INDEX(SR_mission_minutes!O$2:O$43,MATCH($A172,SR_mission_minutes!$A$2:$A$43)),"-")</f>
        <v>0</v>
      </c>
      <c r="P172" s="108">
        <f>IFERROR(INDEX(lifespans_all!P$80:P$126,MATCH($A172,lifespans_all!$A$80:$A$126,0))*INDEX(SR_mission_minutes!P$2:P$43,MATCH($A172,SR_mission_minutes!$A$2:$A$43)),"-")</f>
        <v>0</v>
      </c>
      <c r="Q172" s="108">
        <f>IFERROR(INDEX(lifespans_all!Q$80:Q$126,MATCH($A172,lifespans_all!$A$80:$A$126,0))*INDEX(SR_mission_minutes!Q$2:Q$43,MATCH($A172,SR_mission_minutes!$A$2:$A$43)),"-")</f>
        <v>0</v>
      </c>
      <c r="R172" s="108">
        <f>IFERROR(INDEX(lifespans_all!R$80:R$126,MATCH($A172,lifespans_all!$A$80:$A$126,0))*INDEX(SR_mission_minutes!R$2:R$43,MATCH($A172,SR_mission_minutes!$A$2:$A$43)),"-")</f>
        <v>0</v>
      </c>
      <c r="S172" s="108">
        <f>IFERROR(INDEX(lifespans_all!S$80:S$126,MATCH($A172,lifespans_all!$A$80:$A$126,0))*INDEX(SR_mission_minutes!S$2:S$43,MATCH($A172,SR_mission_minutes!$A$2:$A$43)),"-")</f>
        <v>0</v>
      </c>
      <c r="T172" s="108">
        <f>IFERROR(INDEX(lifespans_all!T$80:T$126,MATCH($A172,lifespans_all!$A$80:$A$126,0))*INDEX(SR_mission_minutes!T$2:T$43,MATCH($A172,SR_mission_minutes!$A$2:$A$43)),"-")</f>
        <v>0</v>
      </c>
      <c r="U172" s="108">
        <f>IFERROR(INDEX(lifespans_all!U$80:U$126,MATCH($A172,lifespans_all!$A$80:$A$126,0))*INDEX(SR_mission_minutes!U$2:U$43,MATCH($A172,SR_mission_minutes!$A$2:$A$43)),"-")</f>
        <v>0</v>
      </c>
      <c r="V172" s="108">
        <f>IFERROR(INDEX(lifespans_all!V$80:V$126,MATCH($A172,lifespans_all!$A$80:$A$126,0))*INDEX(SR_mission_minutes!V$2:V$43,MATCH($A172,SR_mission_minutes!$A$2:$A$43)),"-")</f>
        <v>0</v>
      </c>
    </row>
    <row r="173" spans="1:22" x14ac:dyDescent="0.25">
      <c r="A173" s="32" t="s">
        <v>28</v>
      </c>
      <c r="B173" s="32" t="s">
        <v>41</v>
      </c>
      <c r="C173" s="108">
        <f>IFERROR(INDEX(lifespans_all!C$158:C$212,MATCH($A173,lifespans_all!$A$158:$A$212,0))*INDEX(SR_mission_minutes!C$2:C$43,MATCH($A173,SR_mission_minutes!$A$2:$A$43)),"-")</f>
        <v>66700.388888888891</v>
      </c>
      <c r="D173" s="108">
        <f>IFERROR(INDEX(lifespans_all!D$80:D$126,MATCH($A173,lifespans_all!$A$80:$A$126,0))*INDEX(SR_mission_minutes!D$2:D$43,MATCH($A173,SR_mission_minutes!$A$2:$A$43)),"-")</f>
        <v>0</v>
      </c>
      <c r="E173" s="108">
        <f>IFERROR(INDEX(lifespans_all!E$80:E$126,MATCH($A173,lifespans_all!$A$80:$A$126,0))*INDEX(SR_mission_minutes!E$2:E$43,MATCH($A173,SR_mission_minutes!$A$2:$A$43)),"-")</f>
        <v>0</v>
      </c>
      <c r="F173" s="108">
        <f>IFERROR(INDEX(lifespans_all!F$80:F$126,MATCH($A173,lifespans_all!$A$80:$A$126,0))*INDEX(SR_mission_minutes!F$2:F$43,MATCH($A173,SR_mission_minutes!$A$2:$A$43)),"-")</f>
        <v>0</v>
      </c>
      <c r="G173" s="108">
        <f>IFERROR(INDEX(lifespans_all!G$80:G$126,MATCH($A173,lifespans_all!$A$80:$A$126,0))*INDEX(SR_mission_minutes!G$2:G$43,MATCH($A173,SR_mission_minutes!$A$2:$A$43)),"-")</f>
        <v>0</v>
      </c>
      <c r="H173" s="108">
        <f>IFERROR(INDEX(lifespans_all!H$80:H$126,MATCH($A173,lifespans_all!$A$80:$A$126,0))*INDEX(SR_mission_minutes!H$2:H$43,MATCH($A173,SR_mission_minutes!$A$2:$A$43)),"-")</f>
        <v>0</v>
      </c>
      <c r="I173" s="108">
        <f>IFERROR(INDEX(lifespans_all!I$80:I$126,MATCH($A173,lifespans_all!$A$80:$A$126,0))*INDEX(SR_mission_minutes!I$2:I$43,MATCH($A173,SR_mission_minutes!$A$2:$A$43)),"-")</f>
        <v>0</v>
      </c>
      <c r="J173" s="108">
        <f>IFERROR(INDEX(lifespans_all!J$80:J$126,MATCH($A173,lifespans_all!$A$80:$A$126,0))*INDEX(SR_mission_minutes!J$2:J$43,MATCH($A173,SR_mission_minutes!$A$2:$A$43)),"-")</f>
        <v>0</v>
      </c>
      <c r="K173" s="108">
        <f>IFERROR(INDEX(lifespans_all!K$80:K$126,MATCH($A173,lifespans_all!$A$80:$A$126,0))*INDEX(SR_mission_minutes!K$2:K$43,MATCH($A173,SR_mission_minutes!$A$2:$A$43)),"-")</f>
        <v>0</v>
      </c>
      <c r="L173" s="108">
        <f>IFERROR(INDEX(lifespans_all!L$80:L$126,MATCH($A173,lifespans_all!$A$80:$A$126,0))*INDEX(SR_mission_minutes!L$2:L$43,MATCH($A173,SR_mission_minutes!$A$2:$A$43)),"-")</f>
        <v>0</v>
      </c>
      <c r="M173" s="108">
        <f>IFERROR(INDEX(lifespans_all!M$80:M$126,MATCH($A173,lifespans_all!$A$80:$A$126,0))*INDEX(SR_mission_minutes!M$2:M$43,MATCH($A173,SR_mission_minutes!$A$2:$A$43)),"-")</f>
        <v>0</v>
      </c>
      <c r="N173" s="108">
        <f>IFERROR(INDEX(lifespans_all!N$80:N$126,MATCH($A173,lifespans_all!$A$80:$A$126,0))*INDEX(SR_mission_minutes!N$2:N$43,MATCH($A173,SR_mission_minutes!$A$2:$A$43)),"-")</f>
        <v>0</v>
      </c>
      <c r="O173" s="108">
        <f>IFERROR(INDEX(lifespans_all!O$80:O$126,MATCH($A173,lifespans_all!$A$80:$A$126,0))*INDEX(SR_mission_minutes!O$2:O$43,MATCH($A173,SR_mission_minutes!$A$2:$A$43)),"-")</f>
        <v>0</v>
      </c>
      <c r="P173" s="108">
        <f>IFERROR(INDEX(lifespans_all!P$80:P$126,MATCH($A173,lifespans_all!$A$80:$A$126,0))*INDEX(SR_mission_minutes!P$2:P$43,MATCH($A173,SR_mission_minutes!$A$2:$A$43)),"-")</f>
        <v>0</v>
      </c>
      <c r="Q173" s="108">
        <f>IFERROR(INDEX(lifespans_all!Q$80:Q$126,MATCH($A173,lifespans_all!$A$80:$A$126,0))*INDEX(SR_mission_minutes!Q$2:Q$43,MATCH($A173,SR_mission_minutes!$A$2:$A$43)),"-")</f>
        <v>0</v>
      </c>
      <c r="R173" s="108">
        <f>IFERROR(INDEX(lifespans_all!R$80:R$126,MATCH($A173,lifespans_all!$A$80:$A$126,0))*INDEX(SR_mission_minutes!R$2:R$43,MATCH($A173,SR_mission_minutes!$A$2:$A$43)),"-")</f>
        <v>0</v>
      </c>
      <c r="S173" s="108">
        <f>IFERROR(INDEX(lifespans_all!S$80:S$126,MATCH($A173,lifespans_all!$A$80:$A$126,0))*INDEX(SR_mission_minutes!S$2:S$43,MATCH($A173,SR_mission_minutes!$A$2:$A$43)),"-")</f>
        <v>0</v>
      </c>
      <c r="T173" s="108">
        <f>IFERROR(INDEX(lifespans_all!T$80:T$126,MATCH($A173,lifespans_all!$A$80:$A$126,0))*INDEX(SR_mission_minutes!T$2:T$43,MATCH($A173,SR_mission_minutes!$A$2:$A$43)),"-")</f>
        <v>0</v>
      </c>
      <c r="U173" s="108">
        <f>IFERROR(INDEX(lifespans_all!U$80:U$126,MATCH($A173,lifespans_all!$A$80:$A$126,0))*INDEX(SR_mission_minutes!U$2:U$43,MATCH($A173,SR_mission_minutes!$A$2:$A$43)),"-")</f>
        <v>0</v>
      </c>
      <c r="V173" s="108">
        <f>IFERROR(INDEX(lifespans_all!V$80:V$126,MATCH($A173,lifespans_all!$A$80:$A$126,0))*INDEX(SR_mission_minutes!V$2:V$43,MATCH($A173,SR_mission_minutes!$A$2:$A$43)),"-")</f>
        <v>0</v>
      </c>
    </row>
    <row r="174" spans="1:22" x14ac:dyDescent="0.25">
      <c r="A174" s="32" t="s">
        <v>62</v>
      </c>
      <c r="B174" s="32" t="s">
        <v>41</v>
      </c>
      <c r="C174" s="108">
        <f>IFERROR(INDEX(lifespans_all!C$158:C$212,MATCH($A174,lifespans_all!$A$158:$A$212,0))*INDEX(SR_mission_minutes!C$2:C$43,MATCH($A174,SR_mission_minutes!$A$2:$A$43)),"-")</f>
        <v>66700.388888888891</v>
      </c>
      <c r="D174" s="108">
        <f>IFERROR(INDEX(lifespans_all!D$80:D$126,MATCH($A174,lifespans_all!$A$80:$A$126,0))*INDEX(SR_mission_minutes!D$2:D$43,MATCH($A174,SR_mission_minutes!$A$2:$A$43)),"-")</f>
        <v>66700.388888888891</v>
      </c>
      <c r="E174" s="108">
        <f>IFERROR(INDEX(lifespans_all!E$80:E$126,MATCH($A174,lifespans_all!$A$80:$A$126,0))*INDEX(SR_mission_minutes!E$2:E$43,MATCH($A174,SR_mission_minutes!$A$2:$A$43)),"-")</f>
        <v>66700.388888888891</v>
      </c>
      <c r="F174" s="108">
        <f>IFERROR(INDEX(lifespans_all!F$80:F$126,MATCH($A174,lifespans_all!$A$80:$A$126,0))*INDEX(SR_mission_minutes!F$2:F$43,MATCH($A174,SR_mission_minutes!$A$2:$A$43)),"-")</f>
        <v>66700.388888888891</v>
      </c>
      <c r="G174" s="108">
        <f>IFERROR(INDEX(lifespans_all!G$80:G$126,MATCH($A174,lifespans_all!$A$80:$A$126,0))*INDEX(SR_mission_minutes!G$2:G$43,MATCH($A174,SR_mission_minutes!$A$2:$A$43)),"-")</f>
        <v>66700.388888888891</v>
      </c>
      <c r="H174" s="108">
        <f>IFERROR(INDEX(lifespans_all!H$80:H$126,MATCH($A174,lifespans_all!$A$80:$A$126,0))*INDEX(SR_mission_minutes!H$2:H$43,MATCH($A174,SR_mission_minutes!$A$2:$A$43)),"-")</f>
        <v>0</v>
      </c>
      <c r="I174" s="108">
        <f>IFERROR(INDEX(lifespans_all!I$80:I$126,MATCH($A174,lifespans_all!$A$80:$A$126,0))*INDEX(SR_mission_minutes!I$2:I$43,MATCH($A174,SR_mission_minutes!$A$2:$A$43)),"-")</f>
        <v>0</v>
      </c>
      <c r="J174" s="108">
        <f>IFERROR(INDEX(lifespans_all!J$80:J$126,MATCH($A174,lifespans_all!$A$80:$A$126,0))*INDEX(SR_mission_minutes!J$2:J$43,MATCH($A174,SR_mission_minutes!$A$2:$A$43)),"-")</f>
        <v>0</v>
      </c>
      <c r="K174" s="108">
        <f>IFERROR(INDEX(lifespans_all!K$80:K$126,MATCH($A174,lifespans_all!$A$80:$A$126,0))*INDEX(SR_mission_minutes!K$2:K$43,MATCH($A174,SR_mission_minutes!$A$2:$A$43)),"-")</f>
        <v>0</v>
      </c>
      <c r="L174" s="108">
        <f>IFERROR(INDEX(lifespans_all!L$80:L$126,MATCH($A174,lifespans_all!$A$80:$A$126,0))*INDEX(SR_mission_minutes!L$2:L$43,MATCH($A174,SR_mission_minutes!$A$2:$A$43)),"-")</f>
        <v>0</v>
      </c>
      <c r="M174" s="108">
        <f>IFERROR(INDEX(lifespans_all!M$80:M$126,MATCH($A174,lifespans_all!$A$80:$A$126,0))*INDEX(SR_mission_minutes!M$2:M$43,MATCH($A174,SR_mission_minutes!$A$2:$A$43)),"-")</f>
        <v>0</v>
      </c>
      <c r="N174" s="108">
        <f>IFERROR(INDEX(lifespans_all!N$80:N$126,MATCH($A174,lifespans_all!$A$80:$A$126,0))*INDEX(SR_mission_minutes!N$2:N$43,MATCH($A174,SR_mission_minutes!$A$2:$A$43)),"-")</f>
        <v>0</v>
      </c>
      <c r="O174" s="108">
        <f>IFERROR(INDEX(lifespans_all!O$80:O$126,MATCH($A174,lifespans_all!$A$80:$A$126,0))*INDEX(SR_mission_minutes!O$2:O$43,MATCH($A174,SR_mission_minutes!$A$2:$A$43)),"-")</f>
        <v>0</v>
      </c>
      <c r="P174" s="108">
        <f>IFERROR(INDEX(lifespans_all!P$80:P$126,MATCH($A174,lifespans_all!$A$80:$A$126,0))*INDEX(SR_mission_minutes!P$2:P$43,MATCH($A174,SR_mission_minutes!$A$2:$A$43)),"-")</f>
        <v>0</v>
      </c>
      <c r="Q174" s="108">
        <f>IFERROR(INDEX(lifespans_all!Q$80:Q$126,MATCH($A174,lifespans_all!$A$80:$A$126,0))*INDEX(SR_mission_minutes!Q$2:Q$43,MATCH($A174,SR_mission_minutes!$A$2:$A$43)),"-")</f>
        <v>0</v>
      </c>
      <c r="R174" s="108">
        <f>IFERROR(INDEX(lifespans_all!R$80:R$126,MATCH($A174,lifespans_all!$A$80:$A$126,0))*INDEX(SR_mission_minutes!R$2:R$43,MATCH($A174,SR_mission_minutes!$A$2:$A$43)),"-")</f>
        <v>0</v>
      </c>
      <c r="S174" s="108">
        <f>IFERROR(INDEX(lifespans_all!S$80:S$126,MATCH($A174,lifespans_all!$A$80:$A$126,0))*INDEX(SR_mission_minutes!S$2:S$43,MATCH($A174,SR_mission_minutes!$A$2:$A$43)),"-")</f>
        <v>0</v>
      </c>
      <c r="T174" s="108">
        <f>IFERROR(INDEX(lifespans_all!T$80:T$126,MATCH($A174,lifespans_all!$A$80:$A$126,0))*INDEX(SR_mission_minutes!T$2:T$43,MATCH($A174,SR_mission_minutes!$A$2:$A$43)),"-")</f>
        <v>0</v>
      </c>
      <c r="U174" s="108">
        <f>IFERROR(INDEX(lifespans_all!U$80:U$126,MATCH($A174,lifespans_all!$A$80:$A$126,0))*INDEX(SR_mission_minutes!U$2:U$43,MATCH($A174,SR_mission_minutes!$A$2:$A$43)),"-")</f>
        <v>0</v>
      </c>
      <c r="V174" s="108">
        <f>IFERROR(INDEX(lifespans_all!V$80:V$126,MATCH($A174,lifespans_all!$A$80:$A$126,0))*INDEX(SR_mission_minutes!V$2:V$43,MATCH($A174,SR_mission_minutes!$A$2:$A$43)),"-")</f>
        <v>0</v>
      </c>
    </row>
    <row r="175" spans="1:22" x14ac:dyDescent="0.25">
      <c r="A175" s="32" t="s">
        <v>29</v>
      </c>
      <c r="B175" s="32" t="s">
        <v>41</v>
      </c>
      <c r="C175" s="108">
        <f>IFERROR(INDEX(lifespans_all!C$158:C$212,MATCH($A175,lifespans_all!$A$158:$A$212,0))*INDEX(SR_mission_minutes!C$2:C$43,MATCH($A175,SR_mission_minutes!$A$2:$A$43)),"-")</f>
        <v>66700.388888888891</v>
      </c>
      <c r="D175" s="108">
        <f>IFERROR(INDEX(lifespans_all!D$80:D$126,MATCH($A175,lifespans_all!$A$80:$A$126,0))*INDEX(SR_mission_minutes!D$2:D$43,MATCH($A175,SR_mission_minutes!$A$2:$A$43)),"-")</f>
        <v>66700.388888888891</v>
      </c>
      <c r="E175" s="108">
        <f>IFERROR(INDEX(lifespans_all!E$80:E$126,MATCH($A175,lifespans_all!$A$80:$A$126,0))*INDEX(SR_mission_minutes!E$2:E$43,MATCH($A175,SR_mission_minutes!$A$2:$A$43)),"-")</f>
        <v>66700.388888888891</v>
      </c>
      <c r="F175" s="108">
        <f>IFERROR(INDEX(lifespans_all!F$80:F$126,MATCH($A175,lifespans_all!$A$80:$A$126,0))*INDEX(SR_mission_minutes!F$2:F$43,MATCH($A175,SR_mission_minutes!$A$2:$A$43)),"-")</f>
        <v>0</v>
      </c>
      <c r="G175" s="108">
        <f>IFERROR(INDEX(lifespans_all!G$80:G$126,MATCH($A175,lifespans_all!$A$80:$A$126,0))*INDEX(SR_mission_minutes!G$2:G$43,MATCH($A175,SR_mission_minutes!$A$2:$A$43)),"-")</f>
        <v>0</v>
      </c>
      <c r="H175" s="108">
        <f>IFERROR(INDEX(lifespans_all!H$80:H$126,MATCH($A175,lifespans_all!$A$80:$A$126,0))*INDEX(SR_mission_minutes!H$2:H$43,MATCH($A175,SR_mission_minutes!$A$2:$A$43)),"-")</f>
        <v>0</v>
      </c>
      <c r="I175" s="108">
        <f>IFERROR(INDEX(lifespans_all!I$80:I$126,MATCH($A175,lifespans_all!$A$80:$A$126,0))*INDEX(SR_mission_minutes!I$2:I$43,MATCH($A175,SR_mission_minutes!$A$2:$A$43)),"-")</f>
        <v>0</v>
      </c>
      <c r="J175" s="108">
        <f>IFERROR(INDEX(lifespans_all!J$80:J$126,MATCH($A175,lifespans_all!$A$80:$A$126,0))*INDEX(SR_mission_minutes!J$2:J$43,MATCH($A175,SR_mission_minutes!$A$2:$A$43)),"-")</f>
        <v>0</v>
      </c>
      <c r="K175" s="108">
        <f>IFERROR(INDEX(lifespans_all!K$80:K$126,MATCH($A175,lifespans_all!$A$80:$A$126,0))*INDEX(SR_mission_minutes!K$2:K$43,MATCH($A175,SR_mission_minutes!$A$2:$A$43)),"-")</f>
        <v>0</v>
      </c>
      <c r="L175" s="108">
        <f>IFERROR(INDEX(lifespans_all!L$80:L$126,MATCH($A175,lifespans_all!$A$80:$A$126,0))*INDEX(SR_mission_minutes!L$2:L$43,MATCH($A175,SR_mission_minutes!$A$2:$A$43)),"-")</f>
        <v>0</v>
      </c>
      <c r="M175" s="108">
        <f>IFERROR(INDEX(lifespans_all!M$80:M$126,MATCH($A175,lifespans_all!$A$80:$A$126,0))*INDEX(SR_mission_minutes!M$2:M$43,MATCH($A175,SR_mission_minutes!$A$2:$A$43)),"-")</f>
        <v>0</v>
      </c>
      <c r="N175" s="108">
        <f>IFERROR(INDEX(lifespans_all!N$80:N$126,MATCH($A175,lifespans_all!$A$80:$A$126,0))*INDEX(SR_mission_minutes!N$2:N$43,MATCH($A175,SR_mission_minutes!$A$2:$A$43)),"-")</f>
        <v>0</v>
      </c>
      <c r="O175" s="108">
        <f>IFERROR(INDEX(lifespans_all!O$80:O$126,MATCH($A175,lifespans_all!$A$80:$A$126,0))*INDEX(SR_mission_minutes!O$2:O$43,MATCH($A175,SR_mission_minutes!$A$2:$A$43)),"-")</f>
        <v>0</v>
      </c>
      <c r="P175" s="108">
        <f>IFERROR(INDEX(lifespans_all!P$80:P$126,MATCH($A175,lifespans_all!$A$80:$A$126,0))*INDEX(SR_mission_minutes!P$2:P$43,MATCH($A175,SR_mission_minutes!$A$2:$A$43)),"-")</f>
        <v>0</v>
      </c>
      <c r="Q175" s="108">
        <f>IFERROR(INDEX(lifespans_all!Q$80:Q$126,MATCH($A175,lifespans_all!$A$80:$A$126,0))*INDEX(SR_mission_minutes!Q$2:Q$43,MATCH($A175,SR_mission_minutes!$A$2:$A$43)),"-")</f>
        <v>0</v>
      </c>
      <c r="R175" s="108">
        <f>IFERROR(INDEX(lifespans_all!R$80:R$126,MATCH($A175,lifespans_all!$A$80:$A$126,0))*INDEX(SR_mission_minutes!R$2:R$43,MATCH($A175,SR_mission_minutes!$A$2:$A$43)),"-")</f>
        <v>0</v>
      </c>
      <c r="S175" s="108">
        <f>IFERROR(INDEX(lifespans_all!S$80:S$126,MATCH($A175,lifespans_all!$A$80:$A$126,0))*INDEX(SR_mission_minutes!S$2:S$43,MATCH($A175,SR_mission_minutes!$A$2:$A$43)),"-")</f>
        <v>0</v>
      </c>
      <c r="T175" s="108">
        <f>IFERROR(INDEX(lifespans_all!T$80:T$126,MATCH($A175,lifespans_all!$A$80:$A$126,0))*INDEX(SR_mission_minutes!T$2:T$43,MATCH($A175,SR_mission_minutes!$A$2:$A$43)),"-")</f>
        <v>0</v>
      </c>
      <c r="U175" s="108">
        <f>IFERROR(INDEX(lifespans_all!U$80:U$126,MATCH($A175,lifespans_all!$A$80:$A$126,0))*INDEX(SR_mission_minutes!U$2:U$43,MATCH($A175,SR_mission_minutes!$A$2:$A$43)),"-")</f>
        <v>0</v>
      </c>
      <c r="V175" s="108">
        <f>IFERROR(INDEX(lifespans_all!V$80:V$126,MATCH($A175,lifespans_all!$A$80:$A$126,0))*INDEX(SR_mission_minutes!V$2:V$43,MATCH($A175,SR_mission_minutes!$A$2:$A$43)),"-")</f>
        <v>0</v>
      </c>
    </row>
    <row r="176" spans="1:22" x14ac:dyDescent="0.25">
      <c r="A176" s="32" t="s">
        <v>30</v>
      </c>
      <c r="B176" s="32" t="s">
        <v>43</v>
      </c>
      <c r="C176" s="108">
        <f>IFERROR(INDEX(lifespans_all!C$158:C$212,MATCH($A176,lifespans_all!$A$158:$A$212,0))*INDEX(SR_mission_minutes!C$2:C$43,MATCH($A176,SR_mission_minutes!$A$2:$A$43)),"-")</f>
        <v>114879</v>
      </c>
      <c r="D176" s="108">
        <f>IFERROR(INDEX(lifespans_all!D$80:D$126,MATCH($A176,lifespans_all!$A$80:$A$126,0))*INDEX(SR_mission_minutes!D$2:D$43,MATCH($A176,SR_mission_minutes!$A$2:$A$43)),"-")</f>
        <v>114879</v>
      </c>
      <c r="E176" s="108">
        <f>IFERROR(INDEX(lifespans_all!E$80:E$126,MATCH($A176,lifespans_all!$A$80:$A$126,0))*INDEX(SR_mission_minutes!E$2:E$43,MATCH($A176,SR_mission_minutes!$A$2:$A$43)),"-")</f>
        <v>114879</v>
      </c>
      <c r="F176" s="108">
        <f>IFERROR(INDEX(lifespans_all!F$80:F$126,MATCH($A176,lifespans_all!$A$80:$A$126,0))*INDEX(SR_mission_minutes!F$2:F$43,MATCH($A176,SR_mission_minutes!$A$2:$A$43)),"-")</f>
        <v>114879</v>
      </c>
      <c r="G176" s="108">
        <f>IFERROR(INDEX(lifespans_all!G$80:G$126,MATCH($A176,lifespans_all!$A$80:$A$126,0))*INDEX(SR_mission_minutes!G$2:G$43,MATCH($A176,SR_mission_minutes!$A$2:$A$43)),"-")</f>
        <v>114879</v>
      </c>
      <c r="H176" s="108">
        <f>IFERROR(INDEX(lifespans_all!H$80:H$126,MATCH($A176,lifespans_all!$A$80:$A$126,0))*INDEX(SR_mission_minutes!H$2:H$43,MATCH($A176,SR_mission_minutes!$A$2:$A$43)),"-")</f>
        <v>114879</v>
      </c>
      <c r="I176" s="108">
        <f>IFERROR(INDEX(lifespans_all!I$80:I$126,MATCH($A176,lifespans_all!$A$80:$A$126,0))*INDEX(SR_mission_minutes!I$2:I$43,MATCH($A176,SR_mission_minutes!$A$2:$A$43)),"-")</f>
        <v>114879</v>
      </c>
      <c r="J176" s="108">
        <f>IFERROR(INDEX(lifespans_all!J$80:J$126,MATCH($A176,lifespans_all!$A$80:$A$126,0))*INDEX(SR_mission_minutes!J$2:J$43,MATCH($A176,SR_mission_minutes!$A$2:$A$43)),"-")</f>
        <v>114879</v>
      </c>
      <c r="K176" s="108">
        <f>IFERROR(INDEX(lifespans_all!K$80:K$126,MATCH($A176,lifespans_all!$A$80:$A$126,0))*INDEX(SR_mission_minutes!K$2:K$43,MATCH($A176,SR_mission_minutes!$A$2:$A$43)),"-")</f>
        <v>114879</v>
      </c>
      <c r="L176" s="108">
        <f>IFERROR(INDEX(lifespans_all!L$80:L$126,MATCH($A176,lifespans_all!$A$80:$A$126,0))*INDEX(SR_mission_minutes!L$2:L$43,MATCH($A176,SR_mission_minutes!$A$2:$A$43)),"-")</f>
        <v>114879</v>
      </c>
      <c r="M176" s="108">
        <f>IFERROR(INDEX(lifespans_all!M$80:M$126,MATCH($A176,lifespans_all!$A$80:$A$126,0))*INDEX(SR_mission_minutes!M$2:M$43,MATCH($A176,SR_mission_minutes!$A$2:$A$43)),"-")</f>
        <v>114879</v>
      </c>
      <c r="N176" s="108">
        <f>IFERROR(INDEX(lifespans_all!N$80:N$126,MATCH($A176,lifespans_all!$A$80:$A$126,0))*INDEX(SR_mission_minutes!N$2:N$43,MATCH($A176,SR_mission_minutes!$A$2:$A$43)),"-")</f>
        <v>114879</v>
      </c>
      <c r="O176" s="108">
        <f>IFERROR(INDEX(lifespans_all!O$80:O$126,MATCH($A176,lifespans_all!$A$80:$A$126,0))*INDEX(SR_mission_minutes!O$2:O$43,MATCH($A176,SR_mission_minutes!$A$2:$A$43)),"-")</f>
        <v>114879</v>
      </c>
      <c r="P176" s="108">
        <f>IFERROR(INDEX(lifespans_all!P$80:P$126,MATCH($A176,lifespans_all!$A$80:$A$126,0))*INDEX(SR_mission_minutes!P$2:P$43,MATCH($A176,SR_mission_minutes!$A$2:$A$43)),"-")</f>
        <v>114879</v>
      </c>
      <c r="Q176" s="108">
        <f>IFERROR(INDEX(lifespans_all!Q$80:Q$126,MATCH($A176,lifespans_all!$A$80:$A$126,0))*INDEX(SR_mission_minutes!Q$2:Q$43,MATCH($A176,SR_mission_minutes!$A$2:$A$43)),"-")</f>
        <v>114879</v>
      </c>
      <c r="R176" s="108">
        <f>IFERROR(INDEX(lifespans_all!R$80:R$126,MATCH($A176,lifespans_all!$A$80:$A$126,0))*INDEX(SR_mission_minutes!R$2:R$43,MATCH($A176,SR_mission_minutes!$A$2:$A$43)),"-")</f>
        <v>114879</v>
      </c>
      <c r="S176" s="108">
        <f>IFERROR(INDEX(lifespans_all!S$80:S$126,MATCH($A176,lifespans_all!$A$80:$A$126,0))*INDEX(SR_mission_minutes!S$2:S$43,MATCH($A176,SR_mission_minutes!$A$2:$A$43)),"-")</f>
        <v>114879</v>
      </c>
      <c r="T176" s="108">
        <f>IFERROR(INDEX(lifespans_all!T$80:T$126,MATCH($A176,lifespans_all!$A$80:$A$126,0))*INDEX(SR_mission_minutes!T$2:T$43,MATCH($A176,SR_mission_minutes!$A$2:$A$43)),"-")</f>
        <v>114879</v>
      </c>
      <c r="U176" s="108">
        <f>IFERROR(INDEX(lifespans_all!U$80:U$126,MATCH($A176,lifespans_all!$A$80:$A$126,0))*INDEX(SR_mission_minutes!U$2:U$43,MATCH($A176,SR_mission_minutes!$A$2:$A$43)),"-")</f>
        <v>114879</v>
      </c>
      <c r="V176" s="108">
        <f>IFERROR(INDEX(lifespans_all!V$80:V$126,MATCH($A176,lifespans_all!$A$80:$A$126,0))*INDEX(SR_mission_minutes!V$2:V$43,MATCH($A176,SR_mission_minutes!$A$2:$A$43)),"-")</f>
        <v>114879</v>
      </c>
    </row>
    <row r="177" spans="1:22" x14ac:dyDescent="0.25">
      <c r="A177" s="32" t="s">
        <v>54</v>
      </c>
      <c r="B177" s="32" t="s">
        <v>43</v>
      </c>
      <c r="C177" s="108" t="str">
        <f>IFERROR(INDEX(lifespans_all!C$158:C$212,MATCH($A177,lifespans_all!$A$158:$A$212,0))*INDEX(SR_mission_minutes!C$2:C$43,MATCH($A177,SR_mission_minutes!$A$2:$A$43)),"-")</f>
        <v>-</v>
      </c>
      <c r="D177" s="108" t="str">
        <f>IFERROR(INDEX(lifespans_all!D$80:D$126,MATCH($A177,lifespans_all!$A$80:$A$126,0))*INDEX(SR_mission_minutes!D$2:D$43,MATCH($A177,SR_mission_minutes!$A$2:$A$43)),"-")</f>
        <v>-</v>
      </c>
      <c r="E177" s="108" t="str">
        <f>IFERROR(INDEX(lifespans_all!E$80:E$126,MATCH($A177,lifespans_all!$A$80:$A$126,0))*INDEX(SR_mission_minutes!E$2:E$43,MATCH($A177,SR_mission_minutes!$A$2:$A$43)),"-")</f>
        <v>-</v>
      </c>
      <c r="F177" s="108" t="str">
        <f>IFERROR(INDEX(lifespans_all!F$80:F$126,MATCH($A177,lifespans_all!$A$80:$A$126,0))*INDEX(SR_mission_minutes!F$2:F$43,MATCH($A177,SR_mission_minutes!$A$2:$A$43)),"-")</f>
        <v>-</v>
      </c>
      <c r="G177" s="108" t="str">
        <f>IFERROR(INDEX(lifespans_all!G$80:G$126,MATCH($A177,lifespans_all!$A$80:$A$126,0))*INDEX(SR_mission_minutes!G$2:G$43,MATCH($A177,SR_mission_minutes!$A$2:$A$43)),"-")</f>
        <v>-</v>
      </c>
      <c r="H177" s="108" t="str">
        <f>IFERROR(INDEX(lifespans_all!H$80:H$126,MATCH($A177,lifespans_all!$A$80:$A$126,0))*INDEX(SR_mission_minutes!H$2:H$43,MATCH($A177,SR_mission_minutes!$A$2:$A$43)),"-")</f>
        <v>-</v>
      </c>
      <c r="I177" s="108" t="str">
        <f>IFERROR(INDEX(lifespans_all!I$80:I$126,MATCH($A177,lifespans_all!$A$80:$A$126,0))*INDEX(SR_mission_minutes!I$2:I$43,MATCH($A177,SR_mission_minutes!$A$2:$A$43)),"-")</f>
        <v>-</v>
      </c>
      <c r="J177" s="108" t="str">
        <f>IFERROR(INDEX(lifespans_all!J$80:J$126,MATCH($A177,lifespans_all!$A$80:$A$126,0))*INDEX(SR_mission_minutes!J$2:J$43,MATCH($A177,SR_mission_minutes!$A$2:$A$43)),"-")</f>
        <v>-</v>
      </c>
      <c r="K177" s="108" t="str">
        <f>IFERROR(INDEX(lifespans_all!K$80:K$126,MATCH($A177,lifespans_all!$A$80:$A$126,0))*INDEX(SR_mission_minutes!K$2:K$43,MATCH($A177,SR_mission_minutes!$A$2:$A$43)),"-")</f>
        <v>-</v>
      </c>
      <c r="L177" s="108" t="str">
        <f>IFERROR(INDEX(lifespans_all!L$80:L$126,MATCH($A177,lifespans_all!$A$80:$A$126,0))*INDEX(SR_mission_minutes!L$2:L$43,MATCH($A177,SR_mission_minutes!$A$2:$A$43)),"-")</f>
        <v>-</v>
      </c>
      <c r="M177" s="108" t="str">
        <f>IFERROR(INDEX(lifespans_all!M$80:M$126,MATCH($A177,lifespans_all!$A$80:$A$126,0))*INDEX(SR_mission_minutes!M$2:M$43,MATCH($A177,SR_mission_minutes!$A$2:$A$43)),"-")</f>
        <v>-</v>
      </c>
      <c r="N177" s="108" t="str">
        <f>IFERROR(INDEX(lifespans_all!N$80:N$126,MATCH($A177,lifespans_all!$A$80:$A$126,0))*INDEX(SR_mission_minutes!N$2:N$43,MATCH($A177,SR_mission_minutes!$A$2:$A$43)),"-")</f>
        <v>-</v>
      </c>
      <c r="O177" s="108" t="str">
        <f>IFERROR(INDEX(lifespans_all!O$80:O$126,MATCH($A177,lifespans_all!$A$80:$A$126,0))*INDEX(SR_mission_minutes!O$2:O$43,MATCH($A177,SR_mission_minutes!$A$2:$A$43)),"-")</f>
        <v>-</v>
      </c>
      <c r="P177" s="108" t="str">
        <f>IFERROR(INDEX(lifespans_all!P$80:P$126,MATCH($A177,lifespans_all!$A$80:$A$126,0))*INDEX(SR_mission_minutes!P$2:P$43,MATCH($A177,SR_mission_minutes!$A$2:$A$43)),"-")</f>
        <v>-</v>
      </c>
      <c r="Q177" s="108" t="str">
        <f>IFERROR(INDEX(lifespans_all!Q$80:Q$126,MATCH($A177,lifespans_all!$A$80:$A$126,0))*INDEX(SR_mission_minutes!Q$2:Q$43,MATCH($A177,SR_mission_minutes!$A$2:$A$43)),"-")</f>
        <v>-</v>
      </c>
      <c r="R177" s="108" t="str">
        <f>IFERROR(INDEX(lifespans_all!R$80:R$126,MATCH($A177,lifespans_all!$A$80:$A$126,0))*INDEX(SR_mission_minutes!R$2:R$43,MATCH($A177,SR_mission_minutes!$A$2:$A$43)),"-")</f>
        <v>-</v>
      </c>
      <c r="S177" s="108" t="str">
        <f>IFERROR(INDEX(lifespans_all!S$80:S$126,MATCH($A177,lifespans_all!$A$80:$A$126,0))*INDEX(SR_mission_minutes!S$2:S$43,MATCH($A177,SR_mission_minutes!$A$2:$A$43)),"-")</f>
        <v>-</v>
      </c>
      <c r="T177" s="108" t="str">
        <f>IFERROR(INDEX(lifespans_all!T$80:T$126,MATCH($A177,lifespans_all!$A$80:$A$126,0))*INDEX(SR_mission_minutes!T$2:T$43,MATCH($A177,SR_mission_minutes!$A$2:$A$43)),"-")</f>
        <v>-</v>
      </c>
      <c r="U177" s="108" t="str">
        <f>IFERROR(INDEX(lifespans_all!U$80:U$126,MATCH($A177,lifespans_all!$A$80:$A$126,0))*INDEX(SR_mission_minutes!U$2:U$43,MATCH($A177,SR_mission_minutes!$A$2:$A$43)),"-")</f>
        <v>-</v>
      </c>
      <c r="V177" s="108" t="str">
        <f>IFERROR(INDEX(lifespans_all!V$80:V$126,MATCH($A177,lifespans_all!$A$80:$A$126,0))*INDEX(SR_mission_minutes!V$2:V$43,MATCH($A177,SR_mission_minutes!$A$2:$A$43)),"-")</f>
        <v>-</v>
      </c>
    </row>
    <row r="178" spans="1:22" x14ac:dyDescent="0.25">
      <c r="A178" s="32" t="s">
        <v>31</v>
      </c>
      <c r="B178" s="32" t="s">
        <v>48</v>
      </c>
      <c r="C178" s="108" t="str">
        <f>IFERROR(INDEX(lifespans_all!C$158:C$212,MATCH($A178,lifespans_all!$A$158:$A$212,0))*INDEX(SR_mission_minutes!C$2:C$43,MATCH($A178,SR_mission_minutes!$A$2:$A$43)),"-")</f>
        <v>-</v>
      </c>
      <c r="D178" s="108" t="str">
        <f>IFERROR(INDEX(lifespans_all!D$80:D$126,MATCH($A178,lifespans_all!$A$80:$A$126,0))*INDEX(SR_mission_minutes!D$2:D$43,MATCH($A178,SR_mission_minutes!$A$2:$A$43)),"-")</f>
        <v>-</v>
      </c>
      <c r="E178" s="108" t="str">
        <f>IFERROR(INDEX(lifespans_all!E$80:E$126,MATCH($A178,lifespans_all!$A$80:$A$126,0))*INDEX(SR_mission_minutes!E$2:E$43,MATCH($A178,SR_mission_minutes!$A$2:$A$43)),"-")</f>
        <v>-</v>
      </c>
      <c r="F178" s="108" t="str">
        <f>IFERROR(INDEX(lifespans_all!F$80:F$126,MATCH($A178,lifespans_all!$A$80:$A$126,0))*INDEX(SR_mission_minutes!F$2:F$43,MATCH($A178,SR_mission_minutes!$A$2:$A$43)),"-")</f>
        <v>-</v>
      </c>
      <c r="G178" s="108" t="str">
        <f>IFERROR(INDEX(lifespans_all!G$80:G$126,MATCH($A178,lifespans_all!$A$80:$A$126,0))*INDEX(SR_mission_minutes!G$2:G$43,MATCH($A178,SR_mission_minutes!$A$2:$A$43)),"-")</f>
        <v>-</v>
      </c>
      <c r="H178" s="108" t="str">
        <f>IFERROR(INDEX(lifespans_all!H$80:H$126,MATCH($A178,lifespans_all!$A$80:$A$126,0))*INDEX(SR_mission_minutes!H$2:H$43,MATCH($A178,SR_mission_minutes!$A$2:$A$43)),"-")</f>
        <v>-</v>
      </c>
      <c r="I178" s="108" t="str">
        <f>IFERROR(INDEX(lifespans_all!I$80:I$126,MATCH($A178,lifespans_all!$A$80:$A$126,0))*INDEX(SR_mission_minutes!I$2:I$43,MATCH($A178,SR_mission_minutes!$A$2:$A$43)),"-")</f>
        <v>-</v>
      </c>
      <c r="J178" s="108" t="str">
        <f>IFERROR(INDEX(lifespans_all!J$80:J$126,MATCH($A178,lifespans_all!$A$80:$A$126,0))*INDEX(SR_mission_minutes!J$2:J$43,MATCH($A178,SR_mission_minutes!$A$2:$A$43)),"-")</f>
        <v>-</v>
      </c>
      <c r="K178" s="108" t="str">
        <f>IFERROR(INDEX(lifespans_all!K$80:K$126,MATCH($A178,lifespans_all!$A$80:$A$126,0))*INDEX(SR_mission_minutes!K$2:K$43,MATCH($A178,SR_mission_minutes!$A$2:$A$43)),"-")</f>
        <v>-</v>
      </c>
      <c r="L178" s="108" t="str">
        <f>IFERROR(INDEX(lifespans_all!L$80:L$126,MATCH($A178,lifespans_all!$A$80:$A$126,0))*INDEX(SR_mission_minutes!L$2:L$43,MATCH($A178,SR_mission_minutes!$A$2:$A$43)),"-")</f>
        <v>-</v>
      </c>
      <c r="M178" s="108" t="str">
        <f>IFERROR(INDEX(lifespans_all!M$80:M$126,MATCH($A178,lifespans_all!$A$80:$A$126,0))*INDEX(SR_mission_minutes!M$2:M$43,MATCH($A178,SR_mission_minutes!$A$2:$A$43)),"-")</f>
        <v>-</v>
      </c>
      <c r="N178" s="108" t="str">
        <f>IFERROR(INDEX(lifespans_all!N$80:N$126,MATCH($A178,lifespans_all!$A$80:$A$126,0))*INDEX(SR_mission_minutes!N$2:N$43,MATCH($A178,SR_mission_minutes!$A$2:$A$43)),"-")</f>
        <v>-</v>
      </c>
      <c r="O178" s="108" t="str">
        <f>IFERROR(INDEX(lifespans_all!O$80:O$126,MATCH($A178,lifespans_all!$A$80:$A$126,0))*INDEX(SR_mission_minutes!O$2:O$43,MATCH($A178,SR_mission_minutes!$A$2:$A$43)),"-")</f>
        <v>-</v>
      </c>
      <c r="P178" s="108" t="str">
        <f>IFERROR(INDEX(lifespans_all!P$80:P$126,MATCH($A178,lifespans_all!$A$80:$A$126,0))*INDEX(SR_mission_minutes!P$2:P$43,MATCH($A178,SR_mission_minutes!$A$2:$A$43)),"-")</f>
        <v>-</v>
      </c>
      <c r="Q178" s="108" t="str">
        <f>IFERROR(INDEX(lifespans_all!Q$80:Q$126,MATCH($A178,lifespans_all!$A$80:$A$126,0))*INDEX(SR_mission_minutes!Q$2:Q$43,MATCH($A178,SR_mission_minutes!$A$2:$A$43)),"-")</f>
        <v>-</v>
      </c>
      <c r="R178" s="108" t="str">
        <f>IFERROR(INDEX(lifespans_all!R$80:R$126,MATCH($A178,lifespans_all!$A$80:$A$126,0))*INDEX(SR_mission_minutes!R$2:R$43,MATCH($A178,SR_mission_minutes!$A$2:$A$43)),"-")</f>
        <v>-</v>
      </c>
      <c r="S178" s="108" t="str">
        <f>IFERROR(INDEX(lifespans_all!S$80:S$126,MATCH($A178,lifespans_all!$A$80:$A$126,0))*INDEX(SR_mission_minutes!S$2:S$43,MATCH($A178,SR_mission_minutes!$A$2:$A$43)),"-")</f>
        <v>-</v>
      </c>
      <c r="T178" s="108" t="str">
        <f>IFERROR(INDEX(lifespans_all!T$80:T$126,MATCH($A178,lifespans_all!$A$80:$A$126,0))*INDEX(SR_mission_minutes!T$2:T$43,MATCH($A178,SR_mission_minutes!$A$2:$A$43)),"-")</f>
        <v>-</v>
      </c>
      <c r="U178" s="108" t="str">
        <f>IFERROR(INDEX(lifespans_all!U$80:U$126,MATCH($A178,lifespans_all!$A$80:$A$126,0))*INDEX(SR_mission_minutes!U$2:U$43,MATCH($A178,SR_mission_minutes!$A$2:$A$43)),"-")</f>
        <v>-</v>
      </c>
      <c r="V178" s="108" t="str">
        <f>IFERROR(INDEX(lifespans_all!V$80:V$126,MATCH($A178,lifespans_all!$A$80:$A$126,0))*INDEX(SR_mission_minutes!V$2:V$43,MATCH($A178,SR_mission_minutes!$A$2:$A$43)),"-")</f>
        <v>-</v>
      </c>
    </row>
    <row r="179" spans="1:22" x14ac:dyDescent="0.25">
      <c r="A179" s="32" t="s">
        <v>32</v>
      </c>
      <c r="B179" s="32" t="s">
        <v>48</v>
      </c>
      <c r="C179" s="108" t="str">
        <f>IFERROR(INDEX(lifespans_all!C$158:C$212,MATCH($A179,lifespans_all!$A$158:$A$212,0))*INDEX(SR_mission_minutes!C$2:C$43,MATCH($A179,SR_mission_minutes!$A$2:$A$43)),"-")</f>
        <v>-</v>
      </c>
      <c r="D179" s="108" t="str">
        <f>IFERROR(INDEX(lifespans_all!D$80:D$126,MATCH($A179,lifespans_all!$A$80:$A$126,0))*INDEX(SR_mission_minutes!D$2:D$43,MATCH($A179,SR_mission_minutes!$A$2:$A$43)),"-")</f>
        <v>-</v>
      </c>
      <c r="E179" s="108" t="str">
        <f>IFERROR(INDEX(lifespans_all!E$80:E$126,MATCH($A179,lifespans_all!$A$80:$A$126,0))*INDEX(SR_mission_minutes!E$2:E$43,MATCH($A179,SR_mission_minutes!$A$2:$A$43)),"-")</f>
        <v>-</v>
      </c>
      <c r="F179" s="108" t="str">
        <f>IFERROR(INDEX(lifespans_all!F$80:F$126,MATCH($A179,lifespans_all!$A$80:$A$126,0))*INDEX(SR_mission_minutes!F$2:F$43,MATCH($A179,SR_mission_minutes!$A$2:$A$43)),"-")</f>
        <v>-</v>
      </c>
      <c r="G179" s="108" t="str">
        <f>IFERROR(INDEX(lifespans_all!G$80:G$126,MATCH($A179,lifespans_all!$A$80:$A$126,0))*INDEX(SR_mission_minutes!G$2:G$43,MATCH($A179,SR_mission_minutes!$A$2:$A$43)),"-")</f>
        <v>-</v>
      </c>
      <c r="H179" s="108" t="str">
        <f>IFERROR(INDEX(lifespans_all!H$80:H$126,MATCH($A179,lifespans_all!$A$80:$A$126,0))*INDEX(SR_mission_minutes!H$2:H$43,MATCH($A179,SR_mission_minutes!$A$2:$A$43)),"-")</f>
        <v>-</v>
      </c>
      <c r="I179" s="108" t="str">
        <f>IFERROR(INDEX(lifespans_all!I$80:I$126,MATCH($A179,lifespans_all!$A$80:$A$126,0))*INDEX(SR_mission_minutes!I$2:I$43,MATCH($A179,SR_mission_minutes!$A$2:$A$43)),"-")</f>
        <v>-</v>
      </c>
      <c r="J179" s="108" t="str">
        <f>IFERROR(INDEX(lifespans_all!J$80:J$126,MATCH($A179,lifespans_all!$A$80:$A$126,0))*INDEX(SR_mission_minutes!J$2:J$43,MATCH($A179,SR_mission_minutes!$A$2:$A$43)),"-")</f>
        <v>-</v>
      </c>
      <c r="K179" s="108" t="str">
        <f>IFERROR(INDEX(lifespans_all!K$80:K$126,MATCH($A179,lifespans_all!$A$80:$A$126,0))*INDEX(SR_mission_minutes!K$2:K$43,MATCH($A179,SR_mission_minutes!$A$2:$A$43)),"-")</f>
        <v>-</v>
      </c>
      <c r="L179" s="108" t="str">
        <f>IFERROR(INDEX(lifespans_all!L$80:L$126,MATCH($A179,lifespans_all!$A$80:$A$126,0))*INDEX(SR_mission_minutes!L$2:L$43,MATCH($A179,SR_mission_minutes!$A$2:$A$43)),"-")</f>
        <v>-</v>
      </c>
      <c r="M179" s="108" t="str">
        <f>IFERROR(INDEX(lifespans_all!M$80:M$126,MATCH($A179,lifespans_all!$A$80:$A$126,0))*INDEX(SR_mission_minutes!M$2:M$43,MATCH($A179,SR_mission_minutes!$A$2:$A$43)),"-")</f>
        <v>-</v>
      </c>
      <c r="N179" s="108" t="str">
        <f>IFERROR(INDEX(lifespans_all!N$80:N$126,MATCH($A179,lifespans_all!$A$80:$A$126,0))*INDEX(SR_mission_minutes!N$2:N$43,MATCH($A179,SR_mission_minutes!$A$2:$A$43)),"-")</f>
        <v>-</v>
      </c>
      <c r="O179" s="108" t="str">
        <f>IFERROR(INDEX(lifespans_all!O$80:O$126,MATCH($A179,lifespans_all!$A$80:$A$126,0))*INDEX(SR_mission_minutes!O$2:O$43,MATCH($A179,SR_mission_minutes!$A$2:$A$43)),"-")</f>
        <v>-</v>
      </c>
      <c r="P179" s="108" t="str">
        <f>IFERROR(INDEX(lifespans_all!P$80:P$126,MATCH($A179,lifespans_all!$A$80:$A$126,0))*INDEX(SR_mission_minutes!P$2:P$43,MATCH($A179,SR_mission_minutes!$A$2:$A$43)),"-")</f>
        <v>-</v>
      </c>
      <c r="Q179" s="108" t="str">
        <f>IFERROR(INDEX(lifespans_all!Q$80:Q$126,MATCH($A179,lifespans_all!$A$80:$A$126,0))*INDEX(SR_mission_minutes!Q$2:Q$43,MATCH($A179,SR_mission_minutes!$A$2:$A$43)),"-")</f>
        <v>-</v>
      </c>
      <c r="R179" s="108" t="str">
        <f>IFERROR(INDEX(lifespans_all!R$80:R$126,MATCH($A179,lifespans_all!$A$80:$A$126,0))*INDEX(SR_mission_minutes!R$2:R$43,MATCH($A179,SR_mission_minutes!$A$2:$A$43)),"-")</f>
        <v>-</v>
      </c>
      <c r="S179" s="108" t="str">
        <f>IFERROR(INDEX(lifespans_all!S$80:S$126,MATCH($A179,lifespans_all!$A$80:$A$126,0))*INDEX(SR_mission_minutes!S$2:S$43,MATCH($A179,SR_mission_minutes!$A$2:$A$43)),"-")</f>
        <v>-</v>
      </c>
      <c r="T179" s="108" t="str">
        <f>IFERROR(INDEX(lifespans_all!T$80:T$126,MATCH($A179,lifespans_all!$A$80:$A$126,0))*INDEX(SR_mission_minutes!T$2:T$43,MATCH($A179,SR_mission_minutes!$A$2:$A$43)),"-")</f>
        <v>-</v>
      </c>
      <c r="U179" s="108" t="str">
        <f>IFERROR(INDEX(lifespans_all!U$80:U$126,MATCH($A179,lifespans_all!$A$80:$A$126,0))*INDEX(SR_mission_minutes!U$2:U$43,MATCH($A179,SR_mission_minutes!$A$2:$A$43)),"-")</f>
        <v>-</v>
      </c>
      <c r="V179" s="108" t="str">
        <f>IFERROR(INDEX(lifespans_all!V$80:V$126,MATCH($A179,lifespans_all!$A$80:$A$126,0))*INDEX(SR_mission_minutes!V$2:V$43,MATCH($A179,SR_mission_minutes!$A$2:$A$43)),"-")</f>
        <v>-</v>
      </c>
    </row>
    <row r="180" spans="1:22" x14ac:dyDescent="0.25">
      <c r="A180" s="32" t="s">
        <v>33</v>
      </c>
      <c r="B180" s="32" t="s">
        <v>41</v>
      </c>
      <c r="C180" s="108">
        <f>IFERROR(INDEX(lifespans_all!C$158:C$212,MATCH($A180,lifespans_all!$A$158:$A$212,0))*INDEX(SR_mission_minutes!C$2:C$43,MATCH($A180,SR_mission_minutes!$A$2:$A$43)),"-")</f>
        <v>0</v>
      </c>
      <c r="D180" s="108">
        <f>IFERROR(INDEX(lifespans_all!D$80:D$126,MATCH($A180,lifespans_all!$A$80:$A$126,0))*INDEX(SR_mission_minutes!D$2:D$43,MATCH($A180,SR_mission_minutes!$A$2:$A$43)),"-")</f>
        <v>0</v>
      </c>
      <c r="E180" s="108">
        <f>IFERROR(INDEX(lifespans_all!E$80:E$126,MATCH($A180,lifespans_all!$A$80:$A$126,0))*INDEX(SR_mission_minutes!E$2:E$43,MATCH($A180,SR_mission_minutes!$A$2:$A$43)),"-")</f>
        <v>0</v>
      </c>
      <c r="F180" s="108">
        <f>IFERROR(INDEX(lifespans_all!F$80:F$126,MATCH($A180,lifespans_all!$A$80:$A$126,0))*INDEX(SR_mission_minutes!F$2:F$43,MATCH($A180,SR_mission_minutes!$A$2:$A$43)),"-")</f>
        <v>0</v>
      </c>
      <c r="G180" s="108">
        <f>IFERROR(INDEX(lifespans_all!G$80:G$126,MATCH($A180,lifespans_all!$A$80:$A$126,0))*INDEX(SR_mission_minutes!G$2:G$43,MATCH($A180,SR_mission_minutes!$A$2:$A$43)),"-")</f>
        <v>0</v>
      </c>
      <c r="H180" s="108">
        <f>IFERROR(INDEX(lifespans_all!H$80:H$126,MATCH($A180,lifespans_all!$A$80:$A$126,0))*INDEX(SR_mission_minutes!H$2:H$43,MATCH($A180,SR_mission_minutes!$A$2:$A$43)),"-")</f>
        <v>0</v>
      </c>
      <c r="I180" s="108">
        <f>IFERROR(INDEX(lifespans_all!I$80:I$126,MATCH($A180,lifespans_all!$A$80:$A$126,0))*INDEX(SR_mission_minutes!I$2:I$43,MATCH($A180,SR_mission_minutes!$A$2:$A$43)),"-")</f>
        <v>0</v>
      </c>
      <c r="J180" s="108">
        <f>IFERROR(INDEX(lifespans_all!J$80:J$126,MATCH($A180,lifespans_all!$A$80:$A$126,0))*INDEX(SR_mission_minutes!J$2:J$43,MATCH($A180,SR_mission_minutes!$A$2:$A$43)),"-")</f>
        <v>0</v>
      </c>
      <c r="K180" s="108">
        <f>IFERROR(INDEX(lifespans_all!K$80:K$126,MATCH($A180,lifespans_all!$A$80:$A$126,0))*INDEX(SR_mission_minutes!K$2:K$43,MATCH($A180,SR_mission_minutes!$A$2:$A$43)),"-")</f>
        <v>0</v>
      </c>
      <c r="L180" s="108">
        <f>IFERROR(INDEX(lifespans_all!L$80:L$126,MATCH($A180,lifespans_all!$A$80:$A$126,0))*INDEX(SR_mission_minutes!L$2:L$43,MATCH($A180,SR_mission_minutes!$A$2:$A$43)),"-")</f>
        <v>0</v>
      </c>
      <c r="M180" s="108">
        <f>IFERROR(INDEX(lifespans_all!M$80:M$126,MATCH($A180,lifespans_all!$A$80:$A$126,0))*INDEX(SR_mission_minutes!M$2:M$43,MATCH($A180,SR_mission_minutes!$A$2:$A$43)),"-")</f>
        <v>0</v>
      </c>
      <c r="N180" s="108">
        <f>IFERROR(INDEX(lifespans_all!N$80:N$126,MATCH($A180,lifespans_all!$A$80:$A$126,0))*INDEX(SR_mission_minutes!N$2:N$43,MATCH($A180,SR_mission_minutes!$A$2:$A$43)),"-")</f>
        <v>0</v>
      </c>
      <c r="O180" s="108">
        <f>IFERROR(INDEX(lifespans_all!O$80:O$126,MATCH($A180,lifespans_all!$A$80:$A$126,0))*INDEX(SR_mission_minutes!O$2:O$43,MATCH($A180,SR_mission_minutes!$A$2:$A$43)),"-")</f>
        <v>0</v>
      </c>
      <c r="P180" s="108">
        <f>IFERROR(INDEX(lifespans_all!P$80:P$126,MATCH($A180,lifespans_all!$A$80:$A$126,0))*INDEX(SR_mission_minutes!P$2:P$43,MATCH($A180,SR_mission_minutes!$A$2:$A$43)),"-")</f>
        <v>0</v>
      </c>
      <c r="Q180" s="108">
        <f>IFERROR(INDEX(lifespans_all!Q$80:Q$126,MATCH($A180,lifespans_all!$A$80:$A$126,0))*INDEX(SR_mission_minutes!Q$2:Q$43,MATCH($A180,SR_mission_minutes!$A$2:$A$43)),"-")</f>
        <v>0</v>
      </c>
      <c r="R180" s="108">
        <f>IFERROR(INDEX(lifespans_all!R$80:R$126,MATCH($A180,lifespans_all!$A$80:$A$126,0))*INDEX(SR_mission_minutes!R$2:R$43,MATCH($A180,SR_mission_minutes!$A$2:$A$43)),"-")</f>
        <v>0</v>
      </c>
      <c r="S180" s="108">
        <f>IFERROR(INDEX(lifespans_all!S$80:S$126,MATCH($A180,lifespans_all!$A$80:$A$126,0))*INDEX(SR_mission_minutes!S$2:S$43,MATCH($A180,SR_mission_minutes!$A$2:$A$43)),"-")</f>
        <v>0</v>
      </c>
      <c r="T180" s="108">
        <f>IFERROR(INDEX(lifespans_all!T$80:T$126,MATCH($A180,lifespans_all!$A$80:$A$126,0))*INDEX(SR_mission_minutes!T$2:T$43,MATCH($A180,SR_mission_minutes!$A$2:$A$43)),"-")</f>
        <v>0</v>
      </c>
      <c r="U180" s="108">
        <f>IFERROR(INDEX(lifespans_all!U$80:U$126,MATCH($A180,lifespans_all!$A$80:$A$126,0))*INDEX(SR_mission_minutes!U$2:U$43,MATCH($A180,SR_mission_minutes!$A$2:$A$43)),"-")</f>
        <v>0</v>
      </c>
      <c r="V180" s="108">
        <f>IFERROR(INDEX(lifespans_all!V$80:V$126,MATCH($A180,lifespans_all!$A$80:$A$126,0))*INDEX(SR_mission_minutes!V$2:V$43,MATCH($A180,SR_mission_minutes!$A$2:$A$43)),"-")</f>
        <v>0</v>
      </c>
    </row>
    <row r="181" spans="1:22" x14ac:dyDescent="0.25">
      <c r="A181" s="32" t="s">
        <v>34</v>
      </c>
      <c r="B181" s="32" t="s">
        <v>45</v>
      </c>
      <c r="C181" s="108">
        <f>IFERROR(INDEX(lifespans_all!C$158:C$212,MATCH($A181,lifespans_all!$A$158:$A$212,0))*INDEX(SR_mission_minutes!C$2:C$43,MATCH($A181,SR_mission_minutes!$A$2:$A$43)),"-")</f>
        <v>33739.333333333336</v>
      </c>
      <c r="D181" s="108">
        <f>IFERROR(INDEX(lifespans_all!D$80:D$126,MATCH($A181,lifespans_all!$A$80:$A$126,0))*INDEX(SR_mission_minutes!D$2:D$43,MATCH($A181,SR_mission_minutes!$A$2:$A$43)),"-")</f>
        <v>33739.333333333336</v>
      </c>
      <c r="E181" s="108">
        <f>IFERROR(INDEX(lifespans_all!E$80:E$126,MATCH($A181,lifespans_all!$A$80:$A$126,0))*INDEX(SR_mission_minutes!E$2:E$43,MATCH($A181,SR_mission_minutes!$A$2:$A$43)),"-")</f>
        <v>33739.333333333336</v>
      </c>
      <c r="F181" s="108">
        <f>IFERROR(INDEX(lifespans_all!F$80:F$126,MATCH($A181,lifespans_all!$A$80:$A$126,0))*INDEX(SR_mission_minutes!F$2:F$43,MATCH($A181,SR_mission_minutes!$A$2:$A$43)),"-")</f>
        <v>33739.333333333336</v>
      </c>
      <c r="G181" s="108">
        <f>IFERROR(INDEX(lifespans_all!G$80:G$126,MATCH($A181,lifespans_all!$A$80:$A$126,0))*INDEX(SR_mission_minutes!G$2:G$43,MATCH($A181,SR_mission_minutes!$A$2:$A$43)),"-")</f>
        <v>33739.333333333336</v>
      </c>
      <c r="H181" s="108">
        <f>IFERROR(INDEX(lifespans_all!H$80:H$126,MATCH($A181,lifespans_all!$A$80:$A$126,0))*INDEX(SR_mission_minutes!H$2:H$43,MATCH($A181,SR_mission_minutes!$A$2:$A$43)),"-")</f>
        <v>0</v>
      </c>
      <c r="I181" s="108">
        <f>IFERROR(INDEX(lifespans_all!I$80:I$126,MATCH($A181,lifespans_all!$A$80:$A$126,0))*INDEX(SR_mission_minutes!I$2:I$43,MATCH($A181,SR_mission_minutes!$A$2:$A$43)),"-")</f>
        <v>0</v>
      </c>
      <c r="J181" s="108">
        <f>IFERROR(INDEX(lifespans_all!J$80:J$126,MATCH($A181,lifespans_all!$A$80:$A$126,0))*INDEX(SR_mission_minutes!J$2:J$43,MATCH($A181,SR_mission_minutes!$A$2:$A$43)),"-")</f>
        <v>0</v>
      </c>
      <c r="K181" s="108">
        <f>IFERROR(INDEX(lifespans_all!K$80:K$126,MATCH($A181,lifespans_all!$A$80:$A$126,0))*INDEX(SR_mission_minutes!K$2:K$43,MATCH($A181,SR_mission_minutes!$A$2:$A$43)),"-")</f>
        <v>0</v>
      </c>
      <c r="L181" s="108">
        <f>IFERROR(INDEX(lifespans_all!L$80:L$126,MATCH($A181,lifespans_all!$A$80:$A$126,0))*INDEX(SR_mission_minutes!L$2:L$43,MATCH($A181,SR_mission_minutes!$A$2:$A$43)),"-")</f>
        <v>0</v>
      </c>
      <c r="M181" s="108">
        <f>IFERROR(INDEX(lifespans_all!M$80:M$126,MATCH($A181,lifespans_all!$A$80:$A$126,0))*INDEX(SR_mission_minutes!M$2:M$43,MATCH($A181,SR_mission_minutes!$A$2:$A$43)),"-")</f>
        <v>0</v>
      </c>
      <c r="N181" s="108">
        <f>IFERROR(INDEX(lifespans_all!N$80:N$126,MATCH($A181,lifespans_all!$A$80:$A$126,0))*INDEX(SR_mission_minutes!N$2:N$43,MATCH($A181,SR_mission_minutes!$A$2:$A$43)),"-")</f>
        <v>0</v>
      </c>
      <c r="O181" s="108">
        <f>IFERROR(INDEX(lifespans_all!O$80:O$126,MATCH($A181,lifespans_all!$A$80:$A$126,0))*INDEX(SR_mission_minutes!O$2:O$43,MATCH($A181,SR_mission_minutes!$A$2:$A$43)),"-")</f>
        <v>0</v>
      </c>
      <c r="P181" s="108">
        <f>IFERROR(INDEX(lifespans_all!P$80:P$126,MATCH($A181,lifespans_all!$A$80:$A$126,0))*INDEX(SR_mission_minutes!P$2:P$43,MATCH($A181,SR_mission_minutes!$A$2:$A$43)),"-")</f>
        <v>0</v>
      </c>
      <c r="Q181" s="108">
        <f>IFERROR(INDEX(lifespans_all!Q$80:Q$126,MATCH($A181,lifespans_all!$A$80:$A$126,0))*INDEX(SR_mission_minutes!Q$2:Q$43,MATCH($A181,SR_mission_minutes!$A$2:$A$43)),"-")</f>
        <v>0</v>
      </c>
      <c r="R181" s="108">
        <f>IFERROR(INDEX(lifespans_all!R$80:R$126,MATCH($A181,lifespans_all!$A$80:$A$126,0))*INDEX(SR_mission_minutes!R$2:R$43,MATCH($A181,SR_mission_minutes!$A$2:$A$43)),"-")</f>
        <v>0</v>
      </c>
      <c r="S181" s="108">
        <f>IFERROR(INDEX(lifespans_all!S$80:S$126,MATCH($A181,lifespans_all!$A$80:$A$126,0))*INDEX(SR_mission_minutes!S$2:S$43,MATCH($A181,SR_mission_minutes!$A$2:$A$43)),"-")</f>
        <v>0</v>
      </c>
      <c r="T181" s="108">
        <f>IFERROR(INDEX(lifespans_all!T$80:T$126,MATCH($A181,lifespans_all!$A$80:$A$126,0))*INDEX(SR_mission_minutes!T$2:T$43,MATCH($A181,SR_mission_minutes!$A$2:$A$43)),"-")</f>
        <v>0</v>
      </c>
      <c r="U181" s="108">
        <f>IFERROR(INDEX(lifespans_all!U$80:U$126,MATCH($A181,lifespans_all!$A$80:$A$126,0))*INDEX(SR_mission_minutes!U$2:U$43,MATCH($A181,SR_mission_minutes!$A$2:$A$43)),"-")</f>
        <v>0</v>
      </c>
      <c r="V181" s="108">
        <f>IFERROR(INDEX(lifespans_all!V$80:V$126,MATCH($A181,lifespans_all!$A$80:$A$126,0))*INDEX(SR_mission_minutes!V$2:V$43,MATCH($A181,SR_mission_minutes!$A$2:$A$43)),"-")</f>
        <v>0</v>
      </c>
    </row>
    <row r="182" spans="1:22" x14ac:dyDescent="0.25">
      <c r="A182" s="32" t="s">
        <v>63</v>
      </c>
      <c r="B182" s="32" t="s">
        <v>43</v>
      </c>
      <c r="C182" s="108">
        <f>IFERROR(INDEX(lifespans_all!C$158:C$212,MATCH($A182,lifespans_all!$A$158:$A$212,0))*INDEX(SR_mission_minutes!C$2:C$43,MATCH($A182,SR_mission_minutes!$A$2:$A$43)),"-")</f>
        <v>114879</v>
      </c>
      <c r="D182" s="108">
        <f>IFERROR(INDEX(lifespans_all!D$80:D$126,MATCH($A182,lifespans_all!$A$80:$A$126,0))*INDEX(SR_mission_minutes!D$2:D$43,MATCH($A182,SR_mission_minutes!$A$2:$A$43)),"-")</f>
        <v>114879</v>
      </c>
      <c r="E182" s="108">
        <f>IFERROR(INDEX(lifespans_all!E$80:E$126,MATCH($A182,lifespans_all!$A$80:$A$126,0))*INDEX(SR_mission_minutes!E$2:E$43,MATCH($A182,SR_mission_minutes!$A$2:$A$43)),"-")</f>
        <v>114879</v>
      </c>
      <c r="F182" s="108">
        <f>IFERROR(INDEX(lifespans_all!F$80:F$126,MATCH($A182,lifespans_all!$A$80:$A$126,0))*INDEX(SR_mission_minutes!F$2:F$43,MATCH($A182,SR_mission_minutes!$A$2:$A$43)),"-")</f>
        <v>114879</v>
      </c>
      <c r="G182" s="108">
        <f>IFERROR(INDEX(lifespans_all!G$80:G$126,MATCH($A182,lifespans_all!$A$80:$A$126,0))*INDEX(SR_mission_minutes!G$2:G$43,MATCH($A182,SR_mission_minutes!$A$2:$A$43)),"-")</f>
        <v>114879</v>
      </c>
      <c r="H182" s="108">
        <f>IFERROR(INDEX(lifespans_all!H$80:H$126,MATCH($A182,lifespans_all!$A$80:$A$126,0))*INDEX(SR_mission_minutes!H$2:H$43,MATCH($A182,SR_mission_minutes!$A$2:$A$43)),"-")</f>
        <v>114879</v>
      </c>
      <c r="I182" s="108">
        <f>IFERROR(INDEX(lifespans_all!I$80:I$126,MATCH($A182,lifespans_all!$A$80:$A$126,0))*INDEX(SR_mission_minutes!I$2:I$43,MATCH($A182,SR_mission_minutes!$A$2:$A$43)),"-")</f>
        <v>114879</v>
      </c>
      <c r="J182" s="108">
        <f>IFERROR(INDEX(lifespans_all!J$80:J$126,MATCH($A182,lifespans_all!$A$80:$A$126,0))*INDEX(SR_mission_minutes!J$2:J$43,MATCH($A182,SR_mission_minutes!$A$2:$A$43)),"-")</f>
        <v>114879</v>
      </c>
      <c r="K182" s="108">
        <f>IFERROR(INDEX(lifespans_all!K$80:K$126,MATCH($A182,lifespans_all!$A$80:$A$126,0))*INDEX(SR_mission_minutes!K$2:K$43,MATCH($A182,SR_mission_minutes!$A$2:$A$43)),"-")</f>
        <v>114879</v>
      </c>
      <c r="L182" s="108">
        <f>IFERROR(INDEX(lifespans_all!L$80:L$126,MATCH($A182,lifespans_all!$A$80:$A$126,0))*INDEX(SR_mission_minutes!L$2:L$43,MATCH($A182,SR_mission_minutes!$A$2:$A$43)),"-")</f>
        <v>114879</v>
      </c>
      <c r="M182" s="108">
        <f>IFERROR(INDEX(lifespans_all!M$80:M$126,MATCH($A182,lifespans_all!$A$80:$A$126,0))*INDEX(SR_mission_minutes!M$2:M$43,MATCH($A182,SR_mission_minutes!$A$2:$A$43)),"-")</f>
        <v>114879</v>
      </c>
      <c r="N182" s="108">
        <f>IFERROR(INDEX(lifespans_all!N$80:N$126,MATCH($A182,lifespans_all!$A$80:$A$126,0))*INDEX(SR_mission_minutes!N$2:N$43,MATCH($A182,SR_mission_minutes!$A$2:$A$43)),"-")</f>
        <v>114879</v>
      </c>
      <c r="O182" s="108">
        <f>IFERROR(INDEX(lifespans_all!O$80:O$126,MATCH($A182,lifespans_all!$A$80:$A$126,0))*INDEX(SR_mission_minutes!O$2:O$43,MATCH($A182,SR_mission_minutes!$A$2:$A$43)),"-")</f>
        <v>114879</v>
      </c>
      <c r="P182" s="108">
        <f>IFERROR(INDEX(lifespans_all!P$80:P$126,MATCH($A182,lifespans_all!$A$80:$A$126,0))*INDEX(SR_mission_minutes!P$2:P$43,MATCH($A182,SR_mission_minutes!$A$2:$A$43)),"-")</f>
        <v>114879</v>
      </c>
      <c r="Q182" s="108">
        <f>IFERROR(INDEX(lifespans_all!Q$80:Q$126,MATCH($A182,lifespans_all!$A$80:$A$126,0))*INDEX(SR_mission_minutes!Q$2:Q$43,MATCH($A182,SR_mission_minutes!$A$2:$A$43)),"-")</f>
        <v>114879</v>
      </c>
      <c r="R182" s="108">
        <f>IFERROR(INDEX(lifespans_all!R$80:R$126,MATCH($A182,lifespans_all!$A$80:$A$126,0))*INDEX(SR_mission_minutes!R$2:R$43,MATCH($A182,SR_mission_minutes!$A$2:$A$43)),"-")</f>
        <v>114879</v>
      </c>
      <c r="S182" s="108">
        <f>IFERROR(INDEX(lifespans_all!S$80:S$126,MATCH($A182,lifespans_all!$A$80:$A$126,0))*INDEX(SR_mission_minutes!S$2:S$43,MATCH($A182,SR_mission_minutes!$A$2:$A$43)),"-")</f>
        <v>114879</v>
      </c>
      <c r="T182" s="108">
        <f>IFERROR(INDEX(lifespans_all!T$80:T$126,MATCH($A182,lifespans_all!$A$80:$A$126,0))*INDEX(SR_mission_minutes!T$2:T$43,MATCH($A182,SR_mission_minutes!$A$2:$A$43)),"-")</f>
        <v>114879</v>
      </c>
      <c r="U182" s="108">
        <f>IFERROR(INDEX(lifespans_all!U$80:U$126,MATCH($A182,lifespans_all!$A$80:$A$126,0))*INDEX(SR_mission_minutes!U$2:U$43,MATCH($A182,SR_mission_minutes!$A$2:$A$43)),"-")</f>
        <v>114879</v>
      </c>
      <c r="V182" s="108">
        <f>IFERROR(INDEX(lifespans_all!V$80:V$126,MATCH($A182,lifespans_all!$A$80:$A$126,0))*INDEX(SR_mission_minutes!V$2:V$43,MATCH($A182,SR_mission_minutes!$A$2:$A$43)),"-")</f>
        <v>114879</v>
      </c>
    </row>
    <row r="183" spans="1:22" x14ac:dyDescent="0.25">
      <c r="A183" s="32" t="s">
        <v>64</v>
      </c>
      <c r="B183" s="32" t="s">
        <v>46</v>
      </c>
      <c r="C183" s="108" t="str">
        <f>IFERROR(INDEX(lifespans_all!C$158:C$212,MATCH($A183,lifespans_all!$A$158:$A$212,0))*INDEX(SR_mission_minutes!C$2:C$43,MATCH($A183,SR_mission_minutes!$A$2:$A$43)),"-")</f>
        <v>-</v>
      </c>
      <c r="D183" s="108" t="str">
        <f>IFERROR(INDEX(lifespans_all!D$80:D$126,MATCH($A183,lifespans_all!$A$80:$A$126,0))*INDEX(SR_mission_minutes!D$2:D$43,MATCH($A183,SR_mission_minutes!$A$2:$A$43)),"-")</f>
        <v>-</v>
      </c>
      <c r="E183" s="108" t="str">
        <f>IFERROR(INDEX(lifespans_all!E$80:E$126,MATCH($A183,lifespans_all!$A$80:$A$126,0))*INDEX(SR_mission_minutes!E$2:E$43,MATCH($A183,SR_mission_minutes!$A$2:$A$43)),"-")</f>
        <v>-</v>
      </c>
      <c r="F183" s="108" t="str">
        <f>IFERROR(INDEX(lifespans_all!F$80:F$126,MATCH($A183,lifespans_all!$A$80:$A$126,0))*INDEX(SR_mission_minutes!F$2:F$43,MATCH($A183,SR_mission_minutes!$A$2:$A$43)),"-")</f>
        <v>-</v>
      </c>
      <c r="G183" s="108" t="str">
        <f>IFERROR(INDEX(lifespans_all!G$80:G$126,MATCH($A183,lifespans_all!$A$80:$A$126,0))*INDEX(SR_mission_minutes!G$2:G$43,MATCH($A183,SR_mission_minutes!$A$2:$A$43)),"-")</f>
        <v>-</v>
      </c>
      <c r="H183" s="108" t="str">
        <f>IFERROR(INDEX(lifespans_all!H$80:H$126,MATCH($A183,lifespans_all!$A$80:$A$126,0))*INDEX(SR_mission_minutes!H$2:H$43,MATCH($A183,SR_mission_minutes!$A$2:$A$43)),"-")</f>
        <v>-</v>
      </c>
      <c r="I183" s="108" t="str">
        <f>IFERROR(INDEX(lifespans_all!I$80:I$126,MATCH($A183,lifespans_all!$A$80:$A$126,0))*INDEX(SR_mission_minutes!I$2:I$43,MATCH($A183,SR_mission_minutes!$A$2:$A$43)),"-")</f>
        <v>-</v>
      </c>
      <c r="J183" s="108" t="str">
        <f>IFERROR(INDEX(lifespans_all!J$80:J$126,MATCH($A183,lifespans_all!$A$80:$A$126,0))*INDEX(SR_mission_minutes!J$2:J$43,MATCH($A183,SR_mission_minutes!$A$2:$A$43)),"-")</f>
        <v>-</v>
      </c>
      <c r="K183" s="108" t="str">
        <f>IFERROR(INDEX(lifespans_all!K$80:K$126,MATCH($A183,lifespans_all!$A$80:$A$126,0))*INDEX(SR_mission_minutes!K$2:K$43,MATCH($A183,SR_mission_minutes!$A$2:$A$43)),"-")</f>
        <v>-</v>
      </c>
      <c r="L183" s="108" t="str">
        <f>IFERROR(INDEX(lifespans_all!L$80:L$126,MATCH($A183,lifespans_all!$A$80:$A$126,0))*INDEX(SR_mission_minutes!L$2:L$43,MATCH($A183,SR_mission_minutes!$A$2:$A$43)),"-")</f>
        <v>-</v>
      </c>
      <c r="M183" s="108" t="str">
        <f>IFERROR(INDEX(lifespans_all!M$80:M$126,MATCH($A183,lifespans_all!$A$80:$A$126,0))*INDEX(SR_mission_minutes!M$2:M$43,MATCH($A183,SR_mission_minutes!$A$2:$A$43)),"-")</f>
        <v>-</v>
      </c>
      <c r="N183" s="108" t="str">
        <f>IFERROR(INDEX(lifespans_all!N$80:N$126,MATCH($A183,lifespans_all!$A$80:$A$126,0))*INDEX(SR_mission_minutes!N$2:N$43,MATCH($A183,SR_mission_minutes!$A$2:$A$43)),"-")</f>
        <v>-</v>
      </c>
      <c r="O183" s="108" t="str">
        <f>IFERROR(INDEX(lifespans_all!O$80:O$126,MATCH($A183,lifespans_all!$A$80:$A$126,0))*INDEX(SR_mission_minutes!O$2:O$43,MATCH($A183,SR_mission_minutes!$A$2:$A$43)),"-")</f>
        <v>-</v>
      </c>
      <c r="P183" s="108" t="str">
        <f>IFERROR(INDEX(lifespans_all!P$80:P$126,MATCH($A183,lifespans_all!$A$80:$A$126,0))*INDEX(SR_mission_minutes!P$2:P$43,MATCH($A183,SR_mission_minutes!$A$2:$A$43)),"-")</f>
        <v>-</v>
      </c>
      <c r="Q183" s="108" t="str">
        <f>IFERROR(INDEX(lifespans_all!Q$80:Q$126,MATCH($A183,lifespans_all!$A$80:$A$126,0))*INDEX(SR_mission_minutes!Q$2:Q$43,MATCH($A183,SR_mission_minutes!$A$2:$A$43)),"-")</f>
        <v>-</v>
      </c>
      <c r="R183" s="108" t="str">
        <f>IFERROR(INDEX(lifespans_all!R$80:R$126,MATCH($A183,lifespans_all!$A$80:$A$126,0))*INDEX(SR_mission_minutes!R$2:R$43,MATCH($A183,SR_mission_minutes!$A$2:$A$43)),"-")</f>
        <v>-</v>
      </c>
      <c r="S183" s="108" t="str">
        <f>IFERROR(INDEX(lifespans_all!S$80:S$126,MATCH($A183,lifespans_all!$A$80:$A$126,0))*INDEX(SR_mission_minutes!S$2:S$43,MATCH($A183,SR_mission_minutes!$A$2:$A$43)),"-")</f>
        <v>-</v>
      </c>
      <c r="T183" s="108" t="str">
        <f>IFERROR(INDEX(lifespans_all!T$80:T$126,MATCH($A183,lifespans_all!$A$80:$A$126,0))*INDEX(SR_mission_minutes!T$2:T$43,MATCH($A183,SR_mission_minutes!$A$2:$A$43)),"-")</f>
        <v>-</v>
      </c>
      <c r="U183" s="108" t="str">
        <f>IFERROR(INDEX(lifespans_all!U$80:U$126,MATCH($A183,lifespans_all!$A$80:$A$126,0))*INDEX(SR_mission_minutes!U$2:U$43,MATCH($A183,SR_mission_minutes!$A$2:$A$43)),"-")</f>
        <v>-</v>
      </c>
      <c r="V183" s="108" t="str">
        <f>IFERROR(INDEX(lifespans_all!V$80:V$126,MATCH($A183,lifespans_all!$A$80:$A$126,0))*INDEX(SR_mission_minutes!V$2:V$43,MATCH($A183,SR_mission_minutes!$A$2:$A$43)),"-")</f>
        <v>-</v>
      </c>
    </row>
    <row r="184" spans="1:22" x14ac:dyDescent="0.25">
      <c r="A184" s="32" t="s">
        <v>65</v>
      </c>
      <c r="B184" s="32" t="s">
        <v>41</v>
      </c>
      <c r="C184" s="108">
        <f>IFERROR(INDEX(lifespans_all!C$158:C$212,MATCH($A184,lifespans_all!$A$158:$A$212,0))*INDEX(SR_mission_minutes!C$2:C$43,MATCH($A184,SR_mission_minutes!$A$2:$A$43)),"-")</f>
        <v>66700.388888888891</v>
      </c>
      <c r="D184" s="108">
        <f>IFERROR(INDEX(lifespans_all!D$80:D$126,MATCH($A184,lifespans_all!$A$80:$A$126,0))*INDEX(SR_mission_minutes!D$2:D$43,MATCH($A184,SR_mission_minutes!$A$2:$A$43)),"-")</f>
        <v>66700.388888888891</v>
      </c>
      <c r="E184" s="108">
        <f>IFERROR(INDEX(lifespans_all!E$80:E$126,MATCH($A184,lifespans_all!$A$80:$A$126,0))*INDEX(SR_mission_minutes!E$2:E$43,MATCH($A184,SR_mission_minutes!$A$2:$A$43)),"-")</f>
        <v>66700.388888888891</v>
      </c>
      <c r="F184" s="108">
        <f>IFERROR(INDEX(lifespans_all!F$80:F$126,MATCH($A184,lifespans_all!$A$80:$A$126,0))*INDEX(SR_mission_minutes!F$2:F$43,MATCH($A184,SR_mission_minutes!$A$2:$A$43)),"-")</f>
        <v>66700.388888888891</v>
      </c>
      <c r="G184" s="108">
        <f>IFERROR(INDEX(lifespans_all!G$80:G$126,MATCH($A184,lifespans_all!$A$80:$A$126,0))*INDEX(SR_mission_minutes!G$2:G$43,MATCH($A184,SR_mission_minutes!$A$2:$A$43)),"-")</f>
        <v>66700.388888888891</v>
      </c>
      <c r="H184" s="108">
        <f>IFERROR(INDEX(lifespans_all!H$80:H$126,MATCH($A184,lifespans_all!$A$80:$A$126,0))*INDEX(SR_mission_minutes!H$2:H$43,MATCH($A184,SR_mission_minutes!$A$2:$A$43)),"-")</f>
        <v>66700.388888888891</v>
      </c>
      <c r="I184" s="108">
        <f>IFERROR(INDEX(lifespans_all!I$80:I$126,MATCH($A184,lifespans_all!$A$80:$A$126,0))*INDEX(SR_mission_minutes!I$2:I$43,MATCH($A184,SR_mission_minutes!$A$2:$A$43)),"-")</f>
        <v>66700.388888888891</v>
      </c>
      <c r="J184" s="108">
        <f>IFERROR(INDEX(lifespans_all!J$80:J$126,MATCH($A184,lifespans_all!$A$80:$A$126,0))*INDEX(SR_mission_minutes!J$2:J$43,MATCH($A184,SR_mission_minutes!$A$2:$A$43)),"-")</f>
        <v>0</v>
      </c>
      <c r="K184" s="108">
        <f>IFERROR(INDEX(lifespans_all!K$80:K$126,MATCH($A184,lifespans_all!$A$80:$A$126,0))*INDEX(SR_mission_minutes!K$2:K$43,MATCH($A184,SR_mission_minutes!$A$2:$A$43)),"-")</f>
        <v>0</v>
      </c>
      <c r="L184" s="108">
        <f>IFERROR(INDEX(lifespans_all!L$80:L$126,MATCH($A184,lifespans_all!$A$80:$A$126,0))*INDEX(SR_mission_minutes!L$2:L$43,MATCH($A184,SR_mission_minutes!$A$2:$A$43)),"-")</f>
        <v>0</v>
      </c>
      <c r="M184" s="108">
        <f>IFERROR(INDEX(lifespans_all!M$80:M$126,MATCH($A184,lifespans_all!$A$80:$A$126,0))*INDEX(SR_mission_minutes!M$2:M$43,MATCH($A184,SR_mission_minutes!$A$2:$A$43)),"-")</f>
        <v>0</v>
      </c>
      <c r="N184" s="108">
        <f>IFERROR(INDEX(lifespans_all!N$80:N$126,MATCH($A184,lifespans_all!$A$80:$A$126,0))*INDEX(SR_mission_minutes!N$2:N$43,MATCH($A184,SR_mission_minutes!$A$2:$A$43)),"-")</f>
        <v>0</v>
      </c>
      <c r="O184" s="108">
        <f>IFERROR(INDEX(lifespans_all!O$80:O$126,MATCH($A184,lifespans_all!$A$80:$A$126,0))*INDEX(SR_mission_minutes!O$2:O$43,MATCH($A184,SR_mission_minutes!$A$2:$A$43)),"-")</f>
        <v>0</v>
      </c>
      <c r="P184" s="108">
        <f>IFERROR(INDEX(lifespans_all!P$80:P$126,MATCH($A184,lifespans_all!$A$80:$A$126,0))*INDEX(SR_mission_minutes!P$2:P$43,MATCH($A184,SR_mission_minutes!$A$2:$A$43)),"-")</f>
        <v>0</v>
      </c>
      <c r="Q184" s="108">
        <f>IFERROR(INDEX(lifespans_all!Q$80:Q$126,MATCH($A184,lifespans_all!$A$80:$A$126,0))*INDEX(SR_mission_minutes!Q$2:Q$43,MATCH($A184,SR_mission_minutes!$A$2:$A$43)),"-")</f>
        <v>0</v>
      </c>
      <c r="R184" s="108">
        <f>IFERROR(INDEX(lifespans_all!R$80:R$126,MATCH($A184,lifespans_all!$A$80:$A$126,0))*INDEX(SR_mission_minutes!R$2:R$43,MATCH($A184,SR_mission_minutes!$A$2:$A$43)),"-")</f>
        <v>0</v>
      </c>
      <c r="S184" s="108">
        <f>IFERROR(INDEX(lifespans_all!S$80:S$126,MATCH($A184,lifespans_all!$A$80:$A$126,0))*INDEX(SR_mission_minutes!S$2:S$43,MATCH($A184,SR_mission_minutes!$A$2:$A$43)),"-")</f>
        <v>0</v>
      </c>
      <c r="T184" s="108">
        <f>IFERROR(INDEX(lifespans_all!T$80:T$126,MATCH($A184,lifespans_all!$A$80:$A$126,0))*INDEX(SR_mission_minutes!T$2:T$43,MATCH($A184,SR_mission_minutes!$A$2:$A$43)),"-")</f>
        <v>0</v>
      </c>
      <c r="U184" s="108">
        <f>IFERROR(INDEX(lifespans_all!U$80:U$126,MATCH($A184,lifespans_all!$A$80:$A$126,0))*INDEX(SR_mission_minutes!U$2:U$43,MATCH($A184,SR_mission_minutes!$A$2:$A$43)),"-")</f>
        <v>0</v>
      </c>
      <c r="V184" s="108">
        <f>IFERROR(INDEX(lifespans_all!V$80:V$126,MATCH($A184,lifespans_all!$A$80:$A$126,0))*INDEX(SR_mission_minutes!V$2:V$43,MATCH($A184,SR_mission_minutes!$A$2:$A$43)),"-")</f>
        <v>0</v>
      </c>
    </row>
    <row r="185" spans="1:22" x14ac:dyDescent="0.25">
      <c r="A185" s="32" t="s">
        <v>35</v>
      </c>
      <c r="B185" s="32" t="s">
        <v>40</v>
      </c>
      <c r="C185" s="108">
        <f>IFERROR(INDEX(lifespans_all!C$158:C$212,MATCH($A185,lifespans_all!$A$158:$A$212,0))*INDEX(SR_mission_minutes!C$2:C$43,MATCH($A185,SR_mission_minutes!$A$2:$A$43)),"-")</f>
        <v>2364.2857142857142</v>
      </c>
      <c r="D185" s="108">
        <f>IFERROR(INDEX(lifespans_all!D$80:D$126,MATCH($A185,lifespans_all!$A$80:$A$126,0))*INDEX(SR_mission_minutes!D$2:D$43,MATCH($A185,SR_mission_minutes!$A$2:$A$43)),"-")</f>
        <v>2364.2857142857142</v>
      </c>
      <c r="E185" s="108">
        <f>IFERROR(INDEX(lifespans_all!E$80:E$126,MATCH($A185,lifespans_all!$A$80:$A$126,0))*INDEX(SR_mission_minutes!E$2:E$43,MATCH($A185,SR_mission_minutes!$A$2:$A$43)),"-")</f>
        <v>0</v>
      </c>
      <c r="F185" s="108">
        <f>IFERROR(INDEX(lifespans_all!F$80:F$126,MATCH($A185,lifespans_all!$A$80:$A$126,0))*INDEX(SR_mission_minutes!F$2:F$43,MATCH($A185,SR_mission_minutes!$A$2:$A$43)),"-")</f>
        <v>0</v>
      </c>
      <c r="G185" s="108">
        <f>IFERROR(INDEX(lifespans_all!G$80:G$126,MATCH($A185,lifespans_all!$A$80:$A$126,0))*INDEX(SR_mission_minutes!G$2:G$43,MATCH($A185,SR_mission_minutes!$A$2:$A$43)),"-")</f>
        <v>0</v>
      </c>
      <c r="H185" s="108">
        <f>IFERROR(INDEX(lifespans_all!H$80:H$126,MATCH($A185,lifespans_all!$A$80:$A$126,0))*INDEX(SR_mission_minutes!H$2:H$43,MATCH($A185,SR_mission_minutes!$A$2:$A$43)),"-")</f>
        <v>0</v>
      </c>
      <c r="I185" s="108">
        <f>IFERROR(INDEX(lifespans_all!I$80:I$126,MATCH($A185,lifespans_all!$A$80:$A$126,0))*INDEX(SR_mission_minutes!I$2:I$43,MATCH($A185,SR_mission_minutes!$A$2:$A$43)),"-")</f>
        <v>0</v>
      </c>
      <c r="J185" s="108">
        <f>IFERROR(INDEX(lifespans_all!J$80:J$126,MATCH($A185,lifespans_all!$A$80:$A$126,0))*INDEX(SR_mission_minutes!J$2:J$43,MATCH($A185,SR_mission_minutes!$A$2:$A$43)),"-")</f>
        <v>0</v>
      </c>
      <c r="K185" s="108">
        <f>IFERROR(INDEX(lifespans_all!K$80:K$126,MATCH($A185,lifespans_all!$A$80:$A$126,0))*INDEX(SR_mission_minutes!K$2:K$43,MATCH($A185,SR_mission_minutes!$A$2:$A$43)),"-")</f>
        <v>0</v>
      </c>
      <c r="L185" s="108">
        <f>IFERROR(INDEX(lifespans_all!L$80:L$126,MATCH($A185,lifespans_all!$A$80:$A$126,0))*INDEX(SR_mission_minutes!L$2:L$43,MATCH($A185,SR_mission_minutes!$A$2:$A$43)),"-")</f>
        <v>0</v>
      </c>
      <c r="M185" s="108">
        <f>IFERROR(INDEX(lifespans_all!M$80:M$126,MATCH($A185,lifespans_all!$A$80:$A$126,0))*INDEX(SR_mission_minutes!M$2:M$43,MATCH($A185,SR_mission_minutes!$A$2:$A$43)),"-")</f>
        <v>0</v>
      </c>
      <c r="N185" s="108">
        <f>IFERROR(INDEX(lifespans_all!N$80:N$126,MATCH($A185,lifespans_all!$A$80:$A$126,0))*INDEX(SR_mission_minutes!N$2:N$43,MATCH($A185,SR_mission_minutes!$A$2:$A$43)),"-")</f>
        <v>0</v>
      </c>
      <c r="O185" s="108">
        <f>IFERROR(INDEX(lifespans_all!O$80:O$126,MATCH($A185,lifespans_all!$A$80:$A$126,0))*INDEX(SR_mission_minutes!O$2:O$43,MATCH($A185,SR_mission_minutes!$A$2:$A$43)),"-")</f>
        <v>0</v>
      </c>
      <c r="P185" s="108">
        <f>IFERROR(INDEX(lifespans_all!P$80:P$126,MATCH($A185,lifespans_all!$A$80:$A$126,0))*INDEX(SR_mission_minutes!P$2:P$43,MATCH($A185,SR_mission_minutes!$A$2:$A$43)),"-")</f>
        <v>0</v>
      </c>
      <c r="Q185" s="108">
        <f>IFERROR(INDEX(lifespans_all!Q$80:Q$126,MATCH($A185,lifespans_all!$A$80:$A$126,0))*INDEX(SR_mission_minutes!Q$2:Q$43,MATCH($A185,SR_mission_minutes!$A$2:$A$43)),"-")</f>
        <v>0</v>
      </c>
      <c r="R185" s="108">
        <f>IFERROR(INDEX(lifespans_all!R$80:R$126,MATCH($A185,lifespans_all!$A$80:$A$126,0))*INDEX(SR_mission_minutes!R$2:R$43,MATCH($A185,SR_mission_minutes!$A$2:$A$43)),"-")</f>
        <v>0</v>
      </c>
      <c r="S185" s="108">
        <f>IFERROR(INDEX(lifespans_all!S$80:S$126,MATCH($A185,lifespans_all!$A$80:$A$126,0))*INDEX(SR_mission_minutes!S$2:S$43,MATCH($A185,SR_mission_minutes!$A$2:$A$43)),"-")</f>
        <v>0</v>
      </c>
      <c r="T185" s="108">
        <f>IFERROR(INDEX(lifespans_all!T$80:T$126,MATCH($A185,lifespans_all!$A$80:$A$126,0))*INDEX(SR_mission_minutes!T$2:T$43,MATCH($A185,SR_mission_minutes!$A$2:$A$43)),"-")</f>
        <v>0</v>
      </c>
      <c r="U185" s="108">
        <f>IFERROR(INDEX(lifespans_all!U$80:U$126,MATCH($A185,lifespans_all!$A$80:$A$126,0))*INDEX(SR_mission_minutes!U$2:U$43,MATCH($A185,SR_mission_minutes!$A$2:$A$43)),"-")</f>
        <v>0</v>
      </c>
      <c r="V185" s="108">
        <f>IFERROR(INDEX(lifespans_all!V$80:V$126,MATCH($A185,lifespans_all!$A$80:$A$126,0))*INDEX(SR_mission_minutes!V$2:V$43,MATCH($A185,SR_mission_minutes!$A$2:$A$43)),"-")</f>
        <v>0</v>
      </c>
    </row>
    <row r="186" spans="1:22" x14ac:dyDescent="0.25">
      <c r="A186" s="32" t="s">
        <v>36</v>
      </c>
      <c r="B186" s="32" t="s">
        <v>40</v>
      </c>
      <c r="C186" s="108">
        <f>IFERROR(INDEX(lifespans_all!C$158:C$212,MATCH($A186,lifespans_all!$A$158:$A$212,0))*INDEX(SR_mission_minutes!C$2:C$43,MATCH($A186,SR_mission_minutes!$A$2:$A$43)),"-")</f>
        <v>2364.2857142857142</v>
      </c>
      <c r="D186" s="108">
        <f>IFERROR(INDEX(lifespans_all!D$80:D$126,MATCH($A186,lifespans_all!$A$80:$A$126,0))*INDEX(SR_mission_minutes!D$2:D$43,MATCH($A186,SR_mission_minutes!$A$2:$A$43)),"-")</f>
        <v>2364.2857142857142</v>
      </c>
      <c r="E186" s="108">
        <f>IFERROR(INDEX(lifespans_all!E$80:E$126,MATCH($A186,lifespans_all!$A$80:$A$126,0))*INDEX(SR_mission_minutes!E$2:E$43,MATCH($A186,SR_mission_minutes!$A$2:$A$43)),"-")</f>
        <v>0</v>
      </c>
      <c r="F186" s="108">
        <f>IFERROR(INDEX(lifespans_all!F$80:F$126,MATCH($A186,lifespans_all!$A$80:$A$126,0))*INDEX(SR_mission_minutes!F$2:F$43,MATCH($A186,SR_mission_minutes!$A$2:$A$43)),"-")</f>
        <v>0</v>
      </c>
      <c r="G186" s="108">
        <f>IFERROR(INDEX(lifespans_all!G$80:G$126,MATCH($A186,lifespans_all!$A$80:$A$126,0))*INDEX(SR_mission_minutes!G$2:G$43,MATCH($A186,SR_mission_minutes!$A$2:$A$43)),"-")</f>
        <v>0</v>
      </c>
      <c r="H186" s="108">
        <f>IFERROR(INDEX(lifespans_all!H$80:H$126,MATCH($A186,lifespans_all!$A$80:$A$126,0))*INDEX(SR_mission_minutes!H$2:H$43,MATCH($A186,SR_mission_minutes!$A$2:$A$43)),"-")</f>
        <v>0</v>
      </c>
      <c r="I186" s="108">
        <f>IFERROR(INDEX(lifespans_all!I$80:I$126,MATCH($A186,lifespans_all!$A$80:$A$126,0))*INDEX(SR_mission_minutes!I$2:I$43,MATCH($A186,SR_mission_minutes!$A$2:$A$43)),"-")</f>
        <v>0</v>
      </c>
      <c r="J186" s="108">
        <f>IFERROR(INDEX(lifespans_all!J$80:J$126,MATCH($A186,lifespans_all!$A$80:$A$126,0))*INDEX(SR_mission_minutes!J$2:J$43,MATCH($A186,SR_mission_minutes!$A$2:$A$43)),"-")</f>
        <v>0</v>
      </c>
      <c r="K186" s="108">
        <f>IFERROR(INDEX(lifespans_all!K$80:K$126,MATCH($A186,lifespans_all!$A$80:$A$126,0))*INDEX(SR_mission_minutes!K$2:K$43,MATCH($A186,SR_mission_minutes!$A$2:$A$43)),"-")</f>
        <v>0</v>
      </c>
      <c r="L186" s="108">
        <f>IFERROR(INDEX(lifespans_all!L$80:L$126,MATCH($A186,lifespans_all!$A$80:$A$126,0))*INDEX(SR_mission_minutes!L$2:L$43,MATCH($A186,SR_mission_minutes!$A$2:$A$43)),"-")</f>
        <v>0</v>
      </c>
      <c r="M186" s="108">
        <f>IFERROR(INDEX(lifespans_all!M$80:M$126,MATCH($A186,lifespans_all!$A$80:$A$126,0))*INDEX(SR_mission_minutes!M$2:M$43,MATCH($A186,SR_mission_minutes!$A$2:$A$43)),"-")</f>
        <v>0</v>
      </c>
      <c r="N186" s="108">
        <f>IFERROR(INDEX(lifespans_all!N$80:N$126,MATCH($A186,lifespans_all!$A$80:$A$126,0))*INDEX(SR_mission_minutes!N$2:N$43,MATCH($A186,SR_mission_minutes!$A$2:$A$43)),"-")</f>
        <v>0</v>
      </c>
      <c r="O186" s="108">
        <f>IFERROR(INDEX(lifespans_all!O$80:O$126,MATCH($A186,lifespans_all!$A$80:$A$126,0))*INDEX(SR_mission_minutes!O$2:O$43,MATCH($A186,SR_mission_minutes!$A$2:$A$43)),"-")</f>
        <v>0</v>
      </c>
      <c r="P186" s="108">
        <f>IFERROR(INDEX(lifespans_all!P$80:P$126,MATCH($A186,lifespans_all!$A$80:$A$126,0))*INDEX(SR_mission_minutes!P$2:P$43,MATCH($A186,SR_mission_minutes!$A$2:$A$43)),"-")</f>
        <v>0</v>
      </c>
      <c r="Q186" s="108">
        <f>IFERROR(INDEX(lifespans_all!Q$80:Q$126,MATCH($A186,lifespans_all!$A$80:$A$126,0))*INDEX(SR_mission_minutes!Q$2:Q$43,MATCH($A186,SR_mission_minutes!$A$2:$A$43)),"-")</f>
        <v>0</v>
      </c>
      <c r="R186" s="108">
        <f>IFERROR(INDEX(lifespans_all!R$80:R$126,MATCH($A186,lifespans_all!$A$80:$A$126,0))*INDEX(SR_mission_minutes!R$2:R$43,MATCH($A186,SR_mission_minutes!$A$2:$A$43)),"-")</f>
        <v>0</v>
      </c>
      <c r="S186" s="108">
        <f>IFERROR(INDEX(lifespans_all!S$80:S$126,MATCH($A186,lifespans_all!$A$80:$A$126,0))*INDEX(SR_mission_minutes!S$2:S$43,MATCH($A186,SR_mission_minutes!$A$2:$A$43)),"-")</f>
        <v>0</v>
      </c>
      <c r="T186" s="108">
        <f>IFERROR(INDEX(lifespans_all!T$80:T$126,MATCH($A186,lifespans_all!$A$80:$A$126,0))*INDEX(SR_mission_minutes!T$2:T$43,MATCH($A186,SR_mission_minutes!$A$2:$A$43)),"-")</f>
        <v>0</v>
      </c>
      <c r="U186" s="108">
        <f>IFERROR(INDEX(lifespans_all!U$80:U$126,MATCH($A186,lifespans_all!$A$80:$A$126,0))*INDEX(SR_mission_minutes!U$2:U$43,MATCH($A186,SR_mission_minutes!$A$2:$A$43)),"-")</f>
        <v>0</v>
      </c>
      <c r="V186" s="108">
        <f>IFERROR(INDEX(lifespans_all!V$80:V$126,MATCH($A186,lifespans_all!$A$80:$A$126,0))*INDEX(SR_mission_minutes!V$2:V$43,MATCH($A186,SR_mission_minutes!$A$2:$A$43)),"-")</f>
        <v>0</v>
      </c>
    </row>
    <row r="187" spans="1:22" x14ac:dyDescent="0.25">
      <c r="A187" s="32" t="s">
        <v>37</v>
      </c>
      <c r="B187" s="32" t="s">
        <v>40</v>
      </c>
      <c r="C187" s="108">
        <f>IFERROR(INDEX(lifespans_all!C$158:C$212,MATCH($A187,lifespans_all!$A$158:$A$212,0))*INDEX(SR_mission_minutes!C$2:C$43,MATCH($A187,SR_mission_minutes!$A$2:$A$43)),"-")</f>
        <v>2364.2857142857142</v>
      </c>
      <c r="D187" s="108">
        <f>IFERROR(INDEX(lifespans_all!D$80:D$126,MATCH($A187,lifespans_all!$A$80:$A$126,0))*INDEX(SR_mission_minutes!D$2:D$43,MATCH($A187,SR_mission_minutes!$A$2:$A$43)),"-")</f>
        <v>2364.2857142857142</v>
      </c>
      <c r="E187" s="108">
        <f>IFERROR(INDEX(lifespans_all!E$80:E$126,MATCH($A187,lifespans_all!$A$80:$A$126,0))*INDEX(SR_mission_minutes!E$2:E$43,MATCH($A187,SR_mission_minutes!$A$2:$A$43)),"-")</f>
        <v>0</v>
      </c>
      <c r="F187" s="108">
        <f>IFERROR(INDEX(lifespans_all!F$80:F$126,MATCH($A187,lifespans_all!$A$80:$A$126,0))*INDEX(SR_mission_minutes!F$2:F$43,MATCH($A187,SR_mission_minutes!$A$2:$A$43)),"-")</f>
        <v>0</v>
      </c>
      <c r="G187" s="108">
        <f>IFERROR(INDEX(lifespans_all!G$80:G$126,MATCH($A187,lifespans_all!$A$80:$A$126,0))*INDEX(SR_mission_minutes!G$2:G$43,MATCH($A187,SR_mission_minutes!$A$2:$A$43)),"-")</f>
        <v>0</v>
      </c>
      <c r="H187" s="108">
        <f>IFERROR(INDEX(lifespans_all!H$80:H$126,MATCH($A187,lifespans_all!$A$80:$A$126,0))*INDEX(SR_mission_minutes!H$2:H$43,MATCH($A187,SR_mission_minutes!$A$2:$A$43)),"-")</f>
        <v>0</v>
      </c>
      <c r="I187" s="108">
        <f>IFERROR(INDEX(lifespans_all!I$80:I$126,MATCH($A187,lifespans_all!$A$80:$A$126,0))*INDEX(SR_mission_minutes!I$2:I$43,MATCH($A187,SR_mission_minutes!$A$2:$A$43)),"-")</f>
        <v>0</v>
      </c>
      <c r="J187" s="108">
        <f>IFERROR(INDEX(lifespans_all!J$80:J$126,MATCH($A187,lifespans_all!$A$80:$A$126,0))*INDEX(SR_mission_minutes!J$2:J$43,MATCH($A187,SR_mission_minutes!$A$2:$A$43)),"-")</f>
        <v>0</v>
      </c>
      <c r="K187" s="108">
        <f>IFERROR(INDEX(lifespans_all!K$80:K$126,MATCH($A187,lifespans_all!$A$80:$A$126,0))*INDEX(SR_mission_minutes!K$2:K$43,MATCH($A187,SR_mission_minutes!$A$2:$A$43)),"-")</f>
        <v>0</v>
      </c>
      <c r="L187" s="108">
        <f>IFERROR(INDEX(lifespans_all!L$80:L$126,MATCH($A187,lifespans_all!$A$80:$A$126,0))*INDEX(SR_mission_minutes!L$2:L$43,MATCH($A187,SR_mission_minutes!$A$2:$A$43)),"-")</f>
        <v>0</v>
      </c>
      <c r="M187" s="108">
        <f>IFERROR(INDEX(lifespans_all!M$80:M$126,MATCH($A187,lifespans_all!$A$80:$A$126,0))*INDEX(SR_mission_minutes!M$2:M$43,MATCH($A187,SR_mission_minutes!$A$2:$A$43)),"-")</f>
        <v>0</v>
      </c>
      <c r="N187" s="108">
        <f>IFERROR(INDEX(lifespans_all!N$80:N$126,MATCH($A187,lifespans_all!$A$80:$A$126,0))*INDEX(SR_mission_minutes!N$2:N$43,MATCH($A187,SR_mission_minutes!$A$2:$A$43)),"-")</f>
        <v>0</v>
      </c>
      <c r="O187" s="108">
        <f>IFERROR(INDEX(lifespans_all!O$80:O$126,MATCH($A187,lifespans_all!$A$80:$A$126,0))*INDEX(SR_mission_minutes!O$2:O$43,MATCH($A187,SR_mission_minutes!$A$2:$A$43)),"-")</f>
        <v>0</v>
      </c>
      <c r="P187" s="108">
        <f>IFERROR(INDEX(lifespans_all!P$80:P$126,MATCH($A187,lifespans_all!$A$80:$A$126,0))*INDEX(SR_mission_minutes!P$2:P$43,MATCH($A187,SR_mission_minutes!$A$2:$A$43)),"-")</f>
        <v>0</v>
      </c>
      <c r="Q187" s="108">
        <f>IFERROR(INDEX(lifespans_all!Q$80:Q$126,MATCH($A187,lifespans_all!$A$80:$A$126,0))*INDEX(SR_mission_minutes!Q$2:Q$43,MATCH($A187,SR_mission_minutes!$A$2:$A$43)),"-")</f>
        <v>0</v>
      </c>
      <c r="R187" s="108">
        <f>IFERROR(INDEX(lifespans_all!R$80:R$126,MATCH($A187,lifespans_all!$A$80:$A$126,0))*INDEX(SR_mission_minutes!R$2:R$43,MATCH($A187,SR_mission_minutes!$A$2:$A$43)),"-")</f>
        <v>0</v>
      </c>
      <c r="S187" s="108">
        <f>IFERROR(INDEX(lifespans_all!S$80:S$126,MATCH($A187,lifespans_all!$A$80:$A$126,0))*INDEX(SR_mission_minutes!S$2:S$43,MATCH($A187,SR_mission_minutes!$A$2:$A$43)),"-")</f>
        <v>0</v>
      </c>
      <c r="T187" s="108">
        <f>IFERROR(INDEX(lifespans_all!T$80:T$126,MATCH($A187,lifespans_all!$A$80:$A$126,0))*INDEX(SR_mission_minutes!T$2:T$43,MATCH($A187,SR_mission_minutes!$A$2:$A$43)),"-")</f>
        <v>0</v>
      </c>
      <c r="U187" s="108">
        <f>IFERROR(INDEX(lifespans_all!U$80:U$126,MATCH($A187,lifespans_all!$A$80:$A$126,0))*INDEX(SR_mission_minutes!U$2:U$43,MATCH($A187,SR_mission_minutes!$A$2:$A$43)),"-")</f>
        <v>0</v>
      </c>
      <c r="V187" s="108">
        <f>IFERROR(INDEX(lifespans_all!V$80:V$126,MATCH($A187,lifespans_all!$A$80:$A$126,0))*INDEX(SR_mission_minutes!V$2:V$43,MATCH($A187,SR_mission_minutes!$A$2:$A$43)),"-")</f>
        <v>0</v>
      </c>
    </row>
    <row r="188" spans="1:22" x14ac:dyDescent="0.25">
      <c r="A188" s="32" t="s">
        <v>38</v>
      </c>
      <c r="B188" s="32" t="s">
        <v>41</v>
      </c>
      <c r="C188" s="108">
        <f>IFERROR(INDEX(lifespans_all!C$158:C$212,MATCH($A188,lifespans_all!$A$158:$A$212,0))*INDEX(SR_mission_minutes!C$2:C$43,MATCH($A188,SR_mission_minutes!$A$2:$A$43)),"-")</f>
        <v>66700.388888888891</v>
      </c>
      <c r="D188" s="108">
        <f>IFERROR(INDEX(lifespans_all!D$80:D$126,MATCH($A188,lifespans_all!$A$80:$A$126,0))*INDEX(SR_mission_minutes!D$2:D$43,MATCH($A188,SR_mission_minutes!$A$2:$A$43)),"-")</f>
        <v>0</v>
      </c>
      <c r="E188" s="108">
        <f>IFERROR(INDEX(lifespans_all!E$80:E$126,MATCH($A188,lifespans_all!$A$80:$A$126,0))*INDEX(SR_mission_minutes!E$2:E$43,MATCH($A188,SR_mission_minutes!$A$2:$A$43)),"-")</f>
        <v>0</v>
      </c>
      <c r="F188" s="108">
        <f>IFERROR(INDEX(lifespans_all!F$80:F$126,MATCH($A188,lifespans_all!$A$80:$A$126,0))*INDEX(SR_mission_minutes!F$2:F$43,MATCH($A188,SR_mission_minutes!$A$2:$A$43)),"-")</f>
        <v>0</v>
      </c>
      <c r="G188" s="108">
        <f>IFERROR(INDEX(lifespans_all!G$80:G$126,MATCH($A188,lifespans_all!$A$80:$A$126,0))*INDEX(SR_mission_minutes!G$2:G$43,MATCH($A188,SR_mission_minutes!$A$2:$A$43)),"-")</f>
        <v>0</v>
      </c>
      <c r="H188" s="108">
        <f>IFERROR(INDEX(lifespans_all!H$80:H$126,MATCH($A188,lifespans_all!$A$80:$A$126,0))*INDEX(SR_mission_minutes!H$2:H$43,MATCH($A188,SR_mission_minutes!$A$2:$A$43)),"-")</f>
        <v>0</v>
      </c>
      <c r="I188" s="108">
        <f>IFERROR(INDEX(lifespans_all!I$80:I$126,MATCH($A188,lifespans_all!$A$80:$A$126,0))*INDEX(SR_mission_minutes!I$2:I$43,MATCH($A188,SR_mission_minutes!$A$2:$A$43)),"-")</f>
        <v>0</v>
      </c>
      <c r="J188" s="108">
        <f>IFERROR(INDEX(lifespans_all!J$80:J$126,MATCH($A188,lifespans_all!$A$80:$A$126,0))*INDEX(SR_mission_minutes!J$2:J$43,MATCH($A188,SR_mission_minutes!$A$2:$A$43)),"-")</f>
        <v>0</v>
      </c>
      <c r="K188" s="108">
        <f>IFERROR(INDEX(lifespans_all!K$80:K$126,MATCH($A188,lifespans_all!$A$80:$A$126,0))*INDEX(SR_mission_minutes!K$2:K$43,MATCH($A188,SR_mission_minutes!$A$2:$A$43)),"-")</f>
        <v>0</v>
      </c>
      <c r="L188" s="108">
        <f>IFERROR(INDEX(lifespans_all!L$80:L$126,MATCH($A188,lifespans_all!$A$80:$A$126,0))*INDEX(SR_mission_minutes!L$2:L$43,MATCH($A188,SR_mission_minutes!$A$2:$A$43)),"-")</f>
        <v>0</v>
      </c>
      <c r="M188" s="108">
        <f>IFERROR(INDEX(lifespans_all!M$80:M$126,MATCH($A188,lifespans_all!$A$80:$A$126,0))*INDEX(SR_mission_minutes!M$2:M$43,MATCH($A188,SR_mission_minutes!$A$2:$A$43)),"-")</f>
        <v>0</v>
      </c>
      <c r="N188" s="108">
        <f>IFERROR(INDEX(lifespans_all!N$80:N$126,MATCH($A188,lifespans_all!$A$80:$A$126,0))*INDEX(SR_mission_minutes!N$2:N$43,MATCH($A188,SR_mission_minutes!$A$2:$A$43)),"-")</f>
        <v>0</v>
      </c>
      <c r="O188" s="108">
        <f>IFERROR(INDEX(lifespans_all!O$80:O$126,MATCH($A188,lifespans_all!$A$80:$A$126,0))*INDEX(SR_mission_minutes!O$2:O$43,MATCH($A188,SR_mission_minutes!$A$2:$A$43)),"-")</f>
        <v>0</v>
      </c>
      <c r="P188" s="108">
        <f>IFERROR(INDEX(lifespans_all!P$80:P$126,MATCH($A188,lifespans_all!$A$80:$A$126,0))*INDEX(SR_mission_minutes!P$2:P$43,MATCH($A188,SR_mission_minutes!$A$2:$A$43)),"-")</f>
        <v>0</v>
      </c>
      <c r="Q188" s="108">
        <f>IFERROR(INDEX(lifespans_all!Q$80:Q$126,MATCH($A188,lifespans_all!$A$80:$A$126,0))*INDEX(SR_mission_minutes!Q$2:Q$43,MATCH($A188,SR_mission_minutes!$A$2:$A$43)),"-")</f>
        <v>0</v>
      </c>
      <c r="R188" s="108">
        <f>IFERROR(INDEX(lifespans_all!R$80:R$126,MATCH($A188,lifespans_all!$A$80:$A$126,0))*INDEX(SR_mission_minutes!R$2:R$43,MATCH($A188,SR_mission_minutes!$A$2:$A$43)),"-")</f>
        <v>0</v>
      </c>
      <c r="S188" s="108">
        <f>IFERROR(INDEX(lifespans_all!S$80:S$126,MATCH($A188,lifespans_all!$A$80:$A$126,0))*INDEX(SR_mission_minutes!S$2:S$43,MATCH($A188,SR_mission_minutes!$A$2:$A$43)),"-")</f>
        <v>0</v>
      </c>
      <c r="T188" s="108">
        <f>IFERROR(INDEX(lifespans_all!T$80:T$126,MATCH($A188,lifespans_all!$A$80:$A$126,0))*INDEX(SR_mission_minutes!T$2:T$43,MATCH($A188,SR_mission_minutes!$A$2:$A$43)),"-")</f>
        <v>0</v>
      </c>
      <c r="U188" s="108">
        <f>IFERROR(INDEX(lifespans_all!U$80:U$126,MATCH($A188,lifespans_all!$A$80:$A$126,0))*INDEX(SR_mission_minutes!U$2:U$43,MATCH($A188,SR_mission_minutes!$A$2:$A$43)),"-")</f>
        <v>0</v>
      </c>
      <c r="V188" s="108">
        <f>IFERROR(INDEX(lifespans_all!V$80:V$126,MATCH($A188,lifespans_all!$A$80:$A$126,0))*INDEX(SR_mission_minutes!V$2:V$43,MATCH($A188,SR_mission_minutes!$A$2:$A$43)),"-")</f>
        <v>0</v>
      </c>
    </row>
    <row r="189" spans="1:22" x14ac:dyDescent="0.25">
      <c r="A189" s="32" t="s">
        <v>39</v>
      </c>
      <c r="B189" s="32" t="s">
        <v>41</v>
      </c>
      <c r="C189" s="108">
        <f>IFERROR(INDEX(lifespans_all!C$158:C$212,MATCH($A189,lifespans_all!$A$158:$A$212,0))*INDEX(SR_mission_minutes!C$2:C$43,MATCH($A189,SR_mission_minutes!$A$2:$A$43)),"-")</f>
        <v>33739.333333333336</v>
      </c>
      <c r="D189" s="108">
        <f>IFERROR(INDEX(lifespans_all!D$80:D$126,MATCH($A189,lifespans_all!$A$80:$A$126,0))*INDEX(SR_mission_minutes!D$2:D$43,MATCH($A189,SR_mission_minutes!$A$2:$A$43)),"-")</f>
        <v>33739.333333333336</v>
      </c>
      <c r="E189" s="108">
        <f>IFERROR(INDEX(lifespans_all!E$80:E$126,MATCH($A189,lifespans_all!$A$80:$A$126,0))*INDEX(SR_mission_minutes!E$2:E$43,MATCH($A189,SR_mission_minutes!$A$2:$A$43)),"-")</f>
        <v>33739.333333333336</v>
      </c>
      <c r="F189" s="108">
        <f>IFERROR(INDEX(lifespans_all!F$80:F$126,MATCH($A189,lifespans_all!$A$80:$A$126,0))*INDEX(SR_mission_minutes!F$2:F$43,MATCH($A189,SR_mission_minutes!$A$2:$A$43)),"-")</f>
        <v>33739.333333333336</v>
      </c>
      <c r="G189" s="108">
        <f>IFERROR(INDEX(lifespans_all!G$80:G$126,MATCH($A189,lifespans_all!$A$80:$A$126,0))*INDEX(SR_mission_minutes!G$2:G$43,MATCH($A189,SR_mission_minutes!$A$2:$A$43)),"-")</f>
        <v>0</v>
      </c>
      <c r="H189" s="108">
        <f>IFERROR(INDEX(lifespans_all!H$80:H$126,MATCH($A189,lifespans_all!$A$80:$A$126,0))*INDEX(SR_mission_minutes!H$2:H$43,MATCH($A189,SR_mission_minutes!$A$2:$A$43)),"-")</f>
        <v>0</v>
      </c>
      <c r="I189" s="108">
        <f>IFERROR(INDEX(lifespans_all!I$80:I$126,MATCH($A189,lifespans_all!$A$80:$A$126,0))*INDEX(SR_mission_minutes!I$2:I$43,MATCH($A189,SR_mission_minutes!$A$2:$A$43)),"-")</f>
        <v>0</v>
      </c>
      <c r="J189" s="108">
        <f>IFERROR(INDEX(lifespans_all!J$80:J$126,MATCH($A189,lifespans_all!$A$80:$A$126,0))*INDEX(SR_mission_minutes!J$2:J$43,MATCH($A189,SR_mission_minutes!$A$2:$A$43)),"-")</f>
        <v>0</v>
      </c>
      <c r="K189" s="108">
        <f>IFERROR(INDEX(lifespans_all!K$80:K$126,MATCH($A189,lifespans_all!$A$80:$A$126,0))*INDEX(SR_mission_minutes!K$2:K$43,MATCH($A189,SR_mission_minutes!$A$2:$A$43)),"-")</f>
        <v>0</v>
      </c>
      <c r="L189" s="108">
        <f>IFERROR(INDEX(lifespans_all!L$80:L$126,MATCH($A189,lifespans_all!$A$80:$A$126,0))*INDEX(SR_mission_minutes!L$2:L$43,MATCH($A189,SR_mission_minutes!$A$2:$A$43)),"-")</f>
        <v>0</v>
      </c>
      <c r="M189" s="108">
        <f>IFERROR(INDEX(lifespans_all!M$80:M$126,MATCH($A189,lifespans_all!$A$80:$A$126,0))*INDEX(SR_mission_minutes!M$2:M$43,MATCH($A189,SR_mission_minutes!$A$2:$A$43)),"-")</f>
        <v>0</v>
      </c>
      <c r="N189" s="108">
        <f>IFERROR(INDEX(lifespans_all!N$80:N$126,MATCH($A189,lifespans_all!$A$80:$A$126,0))*INDEX(SR_mission_minutes!N$2:N$43,MATCH($A189,SR_mission_minutes!$A$2:$A$43)),"-")</f>
        <v>0</v>
      </c>
      <c r="O189" s="108">
        <f>IFERROR(INDEX(lifespans_all!O$80:O$126,MATCH($A189,lifespans_all!$A$80:$A$126,0))*INDEX(SR_mission_minutes!O$2:O$43,MATCH($A189,SR_mission_minutes!$A$2:$A$43)),"-")</f>
        <v>0</v>
      </c>
      <c r="P189" s="108">
        <f>IFERROR(INDEX(lifespans_all!P$80:P$126,MATCH($A189,lifespans_all!$A$80:$A$126,0))*INDEX(SR_mission_minutes!P$2:P$43,MATCH($A189,SR_mission_minutes!$A$2:$A$43)),"-")</f>
        <v>0</v>
      </c>
      <c r="Q189" s="108">
        <f>IFERROR(INDEX(lifespans_all!Q$80:Q$126,MATCH($A189,lifespans_all!$A$80:$A$126,0))*INDEX(SR_mission_minutes!Q$2:Q$43,MATCH($A189,SR_mission_minutes!$A$2:$A$43)),"-")</f>
        <v>0</v>
      </c>
      <c r="R189" s="108">
        <f>IFERROR(INDEX(lifespans_all!R$80:R$126,MATCH($A189,lifespans_all!$A$80:$A$126,0))*INDEX(SR_mission_minutes!R$2:R$43,MATCH($A189,SR_mission_minutes!$A$2:$A$43)),"-")</f>
        <v>0</v>
      </c>
      <c r="S189" s="108">
        <f>IFERROR(INDEX(lifespans_all!S$80:S$126,MATCH($A189,lifespans_all!$A$80:$A$126,0))*INDEX(SR_mission_minutes!S$2:S$43,MATCH($A189,SR_mission_minutes!$A$2:$A$43)),"-")</f>
        <v>0</v>
      </c>
      <c r="T189" s="108">
        <f>IFERROR(INDEX(lifespans_all!T$80:T$126,MATCH($A189,lifespans_all!$A$80:$A$126,0))*INDEX(SR_mission_minutes!T$2:T$43,MATCH($A189,SR_mission_minutes!$A$2:$A$43)),"-")</f>
        <v>0</v>
      </c>
      <c r="U189" s="108">
        <f>IFERROR(INDEX(lifespans_all!U$80:U$126,MATCH($A189,lifespans_all!$A$80:$A$126,0))*INDEX(SR_mission_minutes!U$2:U$43,MATCH($A189,SR_mission_minutes!$A$2:$A$43)),"-")</f>
        <v>0</v>
      </c>
      <c r="V189" s="108">
        <f>IFERROR(INDEX(lifespans_all!V$80:V$126,MATCH($A189,lifespans_all!$A$80:$A$126,0))*INDEX(SR_mission_minutes!V$2:V$43,MATCH($A189,SR_mission_minutes!$A$2:$A$43)),"-")</f>
        <v>0</v>
      </c>
    </row>
    <row r="190" spans="1:22" x14ac:dyDescent="0.25">
      <c r="A190" s="24" t="s">
        <v>88</v>
      </c>
      <c r="B190" s="23" t="s">
        <v>43</v>
      </c>
      <c r="C190" s="108">
        <f>IFERROR((INDEX(lifespans_all!C$205:C$212,MATCH($B190,lifespans_all!$B$205:$B$212,0))*SR_mission_minutes!C44)*POWER(1+(Historical_Cost!$C$88/100),C$1-2021),"-")</f>
        <v>-57439.5</v>
      </c>
      <c r="D190" s="108">
        <f>IFERROR((INDEX(lifespans_all!D$205:D$212,MATCH($B190,lifespans_all!$B$205:$B$212,0))*SR_mission_minutes!D44)*POWER(1+(Historical_Cost!$C$88/100),D$1-2021),"-")</f>
        <v>-117176.58</v>
      </c>
      <c r="E190" s="108">
        <f>IFERROR((INDEX(lifespans_all!E$205:E$212,MATCH($B190,lifespans_all!$B$205:$B$212,0))*SR_mission_minutes!E44)*POWER(1+(Historical_Cost!$C$88/100),E$1-2021),"-")</f>
        <v>-179280.16740000001</v>
      </c>
      <c r="F190" s="108">
        <f>IFERROR((INDEX(lifespans_all!F$205:F$212,MATCH($B190,lifespans_all!$B$205:$B$212,0))*SR_mission_minutes!F44)*POWER(1+(Historical_Cost!$C$88/100),F$1-2021),"-")</f>
        <v>-243821.02766399999</v>
      </c>
      <c r="G190" s="108">
        <f>IFERROR((INDEX(lifespans_all!G$205:G$212,MATCH($B190,lifespans_all!$B$205:$B$212,0))*SR_mission_minutes!G44)*POWER(1+(Historical_Cost!$C$88/100),G$1-2021),"-")</f>
        <v>-310871.81027159997</v>
      </c>
      <c r="H190" s="108">
        <f>IFERROR((INDEX(lifespans_all!H$205:H$212,MATCH($B190,lifespans_all!$B$205:$B$212,0))*SR_mission_minutes!H44)*POWER(1+(Historical_Cost!$C$88/100),H$1-2021),"-")</f>
        <v>-380507.09577243839</v>
      </c>
      <c r="I190" s="108">
        <f>IFERROR((INDEX(lifespans_all!I$205:I$212,MATCH($B190,lifespans_all!$B$205:$B$212,0))*SR_mission_minutes!I44)*POWER(1+(Historical_Cost!$C$88/100),I$1-2021),"-")</f>
        <v>-452803.4439692017</v>
      </c>
      <c r="J190" s="108">
        <f>IFERROR((INDEX(lifespans_all!J$205:J$212,MATCH($B190,lifespans_all!$B$205:$B$212,0))*SR_mission_minutes!J44)*POWER(1+(Historical_Cost!$C$88/100),J$1-2021),"-")</f>
        <v>-527839.44325552648</v>
      </c>
      <c r="K190" s="108">
        <f>IFERROR((INDEX(lifespans_all!K$205:K$212,MATCH($B190,lifespans_all!$B$205:$B$212,0))*SR_mission_minutes!K44)*POWER(1+(Historical_Cost!$C$88/100),K$1-2021),"-")</f>
        <v>-605695.76113571669</v>
      </c>
      <c r="L190" s="108">
        <f>IFERROR((INDEX(lifespans_all!L$205:L$212,MATCH($B190,lifespans_all!$B$205:$B$212,0))*SR_mission_minutes!L44)*POWER(1+(Historical_Cost!$C$88/100),L$1-2021),"-")</f>
        <v>-686455.19595381222</v>
      </c>
      <c r="M190" s="108">
        <f>IFERROR((INDEX(lifespans_all!M$205:M$212,MATCH($B190,lifespans_all!$B$205:$B$212,0))*SR_mission_minutes!M44)*POWER(1+(Historical_Cost!$C$88/100),M$1-2021),"-")</f>
        <v>-420110.57992373308</v>
      </c>
      <c r="N190" s="108">
        <f>IFERROR((INDEX(lifespans_all!N$205:N$212,MATCH($B190,lifespans_all!$B$205:$B$212,0))*SR_mission_minutes!N44)*POWER(1+(Historical_Cost!$C$88/100),N$1-2021),"-")</f>
        <v>-428512.79152220767</v>
      </c>
      <c r="O190" s="108">
        <f>IFERROR((INDEX(lifespans_all!O$205:O$212,MATCH($B190,lifespans_all!$B$205:$B$212,0))*SR_mission_minutes!O44)*POWER(1+(Historical_Cost!$C$88/100),O$1-2021),"-")</f>
        <v>-437083.04735265189</v>
      </c>
      <c r="P190" s="108">
        <f>IFERROR((INDEX(lifespans_all!P$205:P$212,MATCH($B190,lifespans_all!$B$205:$B$212,0))*SR_mission_minutes!P44)*POWER(1+(Historical_Cost!$C$88/100),P$1-2021),"-")</f>
        <v>-445824.70829970494</v>
      </c>
      <c r="Q190" s="108">
        <f>IFERROR((INDEX(lifespans_all!Q$205:Q$212,MATCH($B190,lifespans_all!$B$205:$B$212,0))*SR_mission_minutes!Q44)*POWER(1+(Historical_Cost!$C$88/100),Q$1-2021),"-")</f>
        <v>-454741.20246569905</v>
      </c>
      <c r="R190" s="108">
        <f>IFERROR((INDEX(lifespans_all!R$205:R$212,MATCH($B190,lifespans_all!$B$205:$B$212,0))*SR_mission_minutes!R44)*POWER(1+(Historical_Cost!$C$88/100),R$1-2021),"-")</f>
        <v>-463836.0265150129</v>
      </c>
      <c r="S190" s="108">
        <f>IFERROR((INDEX(lifespans_all!S$205:S$212,MATCH($B190,lifespans_all!$B$205:$B$212,0))*SR_mission_minutes!S44)*POWER(1+(Historical_Cost!$C$88/100),S$1-2021),"-")</f>
        <v>-473112.74704531324</v>
      </c>
      <c r="T190" s="108">
        <f>IFERROR((INDEX(lifespans_all!T$205:T$212,MATCH($B190,lifespans_all!$B$205:$B$212,0))*SR_mission_minutes!T44)*POWER(1+(Historical_Cost!$C$88/100),T$1-2021),"-")</f>
        <v>-482575.00198621955</v>
      </c>
      <c r="U190" s="108">
        <f>IFERROR((INDEX(lifespans_all!U$205:U$212,MATCH($B190,lifespans_all!$B$205:$B$212,0))*SR_mission_minutes!U44)*POWER(1+(Historical_Cost!$C$88/100),U$1-2021),"-")</f>
        <v>-492226.50202594389</v>
      </c>
      <c r="V190" s="108">
        <f>IFERROR((INDEX(lifespans_all!V$205:V$212,MATCH($B190,lifespans_all!$B$205:$B$212,0))*SR_mission_minutes!V44)*POWER(1+(Historical_Cost!$C$88/100),V$1-2021),"-")</f>
        <v>-502071.03206646274</v>
      </c>
    </row>
    <row r="191" spans="1:22" x14ac:dyDescent="0.25">
      <c r="A191" s="24" t="s">
        <v>88</v>
      </c>
      <c r="B191" s="23" t="s">
        <v>41</v>
      </c>
      <c r="C191" s="108">
        <f>IFERROR((INDEX(lifespans_all!C$205:C$212,MATCH($B191,lifespans_all!$B$205:$B$212,0))*SR_mission_minutes!C45)*POWER(1+(Historical_Cost!$C$88/100),C$1-2021),"-")</f>
        <v>0</v>
      </c>
      <c r="D191" s="108">
        <f>IFERROR((INDEX(lifespans_all!D$205:D$212,MATCH($B191,lifespans_all!$B$205:$B$212,0))*SR_mission_minutes!D45)*POWER(1+(Historical_Cost!$C$88/100),D$1-2021),"-")</f>
        <v>136068.79333333333</v>
      </c>
      <c r="E191" s="108">
        <f>IFERROR((INDEX(lifespans_all!E$205:E$212,MATCH($B191,lifespans_all!$B$205:$B$212,0))*SR_mission_minutes!E45)*POWER(1+(Historical_Cost!$C$88/100),E$1-2021),"-")</f>
        <v>208185.25380000001</v>
      </c>
      <c r="F191" s="108">
        <f>IFERROR((INDEX(lifespans_all!F$205:F$212,MATCH($B191,lifespans_all!$B$205:$B$212,0))*SR_mission_minutes!F45)*POWER(1+(Historical_Cost!$C$88/100),F$1-2021),"-")</f>
        <v>353914.93145999999</v>
      </c>
      <c r="G191" s="108">
        <f>IFERROR((INDEX(lifespans_all!G$205:G$212,MATCH($B191,lifespans_all!$B$205:$B$212,0))*SR_mission_minutes!G45)*POWER(1+(Historical_Cost!$C$88/100),G$1-2021),"-")</f>
        <v>577589.16814272001</v>
      </c>
      <c r="H191" s="108">
        <f>IFERROR((INDEX(lifespans_all!H$205:H$212,MATCH($B191,lifespans_all!$B$205:$B$212,0))*SR_mission_minutes!H45)*POWER(1+(Historical_Cost!$C$88/100),H$1-2021),"-")</f>
        <v>810068.8083201648</v>
      </c>
      <c r="I191" s="108">
        <f>IFERROR((INDEX(lifespans_all!I$205:I$212,MATCH($B191,lifespans_all!$B$205:$B$212,0))*SR_mission_minutes!I45)*POWER(1+(Historical_Cost!$C$88/100),I$1-2021),"-")</f>
        <v>1051616.5984374504</v>
      </c>
      <c r="J191" s="108">
        <f>IFERROR((INDEX(lifespans_all!J$205:J$212,MATCH($B191,lifespans_all!$B$205:$B$212,0))*SR_mission_minutes!J45)*POWER(1+(Historical_Cost!$C$88/100),J$1-2021),"-")</f>
        <v>1225884.491892799</v>
      </c>
      <c r="K191" s="108">
        <f>IFERROR((INDEX(lifespans_all!K$205:K$212,MATCH($B191,lifespans_all!$B$205:$B$212,0))*SR_mission_minutes!K45)*POWER(1+(Historical_Cost!$C$88/100),K$1-2021),"-")</f>
        <v>1250402.1817306553</v>
      </c>
      <c r="L191" s="108">
        <f>IFERROR((INDEX(lifespans_all!L$205:L$212,MATCH($B191,lifespans_all!$B$205:$B$212,0))*SR_mission_minutes!L45)*POWER(1+(Historical_Cost!$C$88/100),L$1-2021),"-")</f>
        <v>1275410.2253652683</v>
      </c>
      <c r="M191" s="108">
        <f>IFERROR((INDEX(lifespans_all!M$205:M$212,MATCH($B191,lifespans_all!$B$205:$B$212,0))*SR_mission_minutes!M45)*POWER(1+(Historical_Cost!$C$88/100),M$1-2021),"-")</f>
        <v>1300918.4298725736</v>
      </c>
      <c r="N191" s="108">
        <f>IFERROR((INDEX(lifespans_all!N$205:N$212,MATCH($B191,lifespans_all!$B$205:$B$212,0))*SR_mission_minutes!N45)*POWER(1+(Historical_Cost!$C$88/100),N$1-2021),"-")</f>
        <v>1326936.798470025</v>
      </c>
      <c r="O191" s="108">
        <f>IFERROR((INDEX(lifespans_all!O$205:O$212,MATCH($B191,lifespans_all!$B$205:$B$212,0))*SR_mission_minutes!O45)*POWER(1+(Historical_Cost!$C$88/100),O$1-2021),"-")</f>
        <v>1353475.5344394257</v>
      </c>
      <c r="P191" s="108">
        <f>IFERROR((INDEX(lifespans_all!P$205:P$212,MATCH($B191,lifespans_all!$B$205:$B$212,0))*SR_mission_minutes!P45)*POWER(1+(Historical_Cost!$C$88/100),P$1-2021),"-")</f>
        <v>1380545.0451282139</v>
      </c>
      <c r="Q191" s="108">
        <f>IFERROR((INDEX(lifespans_all!Q$205:Q$212,MATCH($B191,lifespans_all!$B$205:$B$212,0))*SR_mission_minutes!Q45)*POWER(1+(Historical_Cost!$C$88/100),Q$1-2021),"-")</f>
        <v>1408155.9460307786</v>
      </c>
      <c r="R191" s="108">
        <f>IFERROR((INDEX(lifespans_all!R$205:R$212,MATCH($B191,lifespans_all!$B$205:$B$212,0))*SR_mission_minutes!R45)*POWER(1+(Historical_Cost!$C$88/100),R$1-2021),"-")</f>
        <v>1436319.0649513938</v>
      </c>
      <c r="S191" s="108">
        <f>IFERROR((INDEX(lifespans_all!S$205:S$212,MATCH($B191,lifespans_all!$B$205:$B$212,0))*SR_mission_minutes!S45)*POWER(1+(Historical_Cost!$C$88/100),S$1-2021),"-")</f>
        <v>1465045.4462504217</v>
      </c>
      <c r="T191" s="108">
        <f>IFERROR((INDEX(lifespans_all!T$205:T$212,MATCH($B191,lifespans_all!$B$205:$B$212,0))*SR_mission_minutes!T45)*POWER(1+(Historical_Cost!$C$88/100),T$1-2021),"-")</f>
        <v>1494346.3551754304</v>
      </c>
      <c r="U191" s="108">
        <f>IFERROR((INDEX(lifespans_all!U$205:U$212,MATCH($B191,lifespans_all!$B$205:$B$212,0))*SR_mission_minutes!U45)*POWER(1+(Historical_Cost!$C$88/100),U$1-2021),"-")</f>
        <v>1524233.2822789387</v>
      </c>
      <c r="V191" s="108">
        <f>IFERROR((INDEX(lifespans_all!V$205:V$212,MATCH($B191,lifespans_all!$B$205:$B$212,0))*SR_mission_minutes!V45)*POWER(1+(Historical_Cost!$C$88/100),V$1-2021),"-")</f>
        <v>1554717.9479245176</v>
      </c>
    </row>
    <row r="192" spans="1:22" x14ac:dyDescent="0.25">
      <c r="A192" s="24" t="s">
        <v>88</v>
      </c>
      <c r="B192" s="23" t="s">
        <v>40</v>
      </c>
      <c r="C192" s="108">
        <f>IFERROR((INDEX(lifespans_all!C$205:C$212,MATCH($B192,lifespans_all!$B$205:$B$212,0))*SR_mission_minutes!C46)*POWER(1+(Historical_Cost!$C$88/100),C$1-2021),"-")</f>
        <v>0</v>
      </c>
      <c r="D192" s="108">
        <f>IFERROR((INDEX(lifespans_all!D$205:D$212,MATCH($B192,lifespans_all!$B$205:$B$212,0))*SR_mission_minutes!D46)*POWER(1+(Historical_Cost!$C$88/100),D$1-2021),"-")</f>
        <v>0</v>
      </c>
      <c r="E192" s="108">
        <f>IFERROR((INDEX(lifespans_all!E$205:E$212,MATCH($B192,lifespans_all!$B$205:$B$212,0))*SR_mission_minutes!E46)*POWER(1+(Historical_Cost!$C$88/100),E$1-2021),"-")</f>
        <v>9839.2114285714288</v>
      </c>
      <c r="F192" s="108">
        <f>IFERROR((INDEX(lifespans_all!F$205:F$212,MATCH($B192,lifespans_all!$B$205:$B$212,0))*SR_mission_minutes!F46)*POWER(1+(Historical_Cost!$C$88/100),F$1-2021),"-")</f>
        <v>10035.995657142856</v>
      </c>
      <c r="G192" s="108">
        <f>IFERROR((INDEX(lifespans_all!G$205:G$212,MATCH($B192,lifespans_all!$B$205:$B$212,0))*SR_mission_minutes!G46)*POWER(1+(Historical_Cost!$C$88/100),G$1-2021),"-")</f>
        <v>10236.715570285714</v>
      </c>
      <c r="H192" s="108">
        <f>IFERROR((INDEX(lifespans_all!H$205:H$212,MATCH($B192,lifespans_all!$B$205:$B$212,0))*SR_mission_minutes!H46)*POWER(1+(Historical_Cost!$C$88/100),H$1-2021),"-")</f>
        <v>10441.449881691429</v>
      </c>
      <c r="I192" s="108">
        <f>IFERROR((INDEX(lifespans_all!I$205:I$212,MATCH($B192,lifespans_all!$B$205:$B$212,0))*SR_mission_minutes!I46)*POWER(1+(Historical_Cost!$C$88/100),I$1-2021),"-")</f>
        <v>10650.278879325257</v>
      </c>
      <c r="J192" s="108">
        <f>IFERROR((INDEX(lifespans_all!J$205:J$212,MATCH($B192,lifespans_all!$B$205:$B$212,0))*SR_mission_minutes!J46)*POWER(1+(Historical_Cost!$C$88/100),J$1-2021),"-")</f>
        <v>10863.284456911761</v>
      </c>
      <c r="K192" s="108">
        <f>IFERROR((INDEX(lifespans_all!K$205:K$212,MATCH($B192,lifespans_all!$B$205:$B$212,0))*SR_mission_minutes!K46)*POWER(1+(Historical_Cost!$C$88/100),K$1-2021),"-")</f>
        <v>11080.550146049996</v>
      </c>
      <c r="L192" s="108">
        <f>IFERROR((INDEX(lifespans_all!L$205:L$212,MATCH($B192,lifespans_all!$B$205:$B$212,0))*SR_mission_minutes!L46)*POWER(1+(Historical_Cost!$C$88/100),L$1-2021),"-")</f>
        <v>11302.161148970996</v>
      </c>
      <c r="M192" s="108">
        <f>IFERROR((INDEX(lifespans_all!M$205:M$212,MATCH($B192,lifespans_all!$B$205:$B$212,0))*SR_mission_minutes!M46)*POWER(1+(Historical_Cost!$C$88/100),M$1-2021),"-")</f>
        <v>11528.204371950416</v>
      </c>
      <c r="N192" s="108">
        <f>IFERROR((INDEX(lifespans_all!N$205:N$212,MATCH($B192,lifespans_all!$B$205:$B$212,0))*SR_mission_minutes!N46)*POWER(1+(Historical_Cost!$C$88/100),N$1-2021),"-")</f>
        <v>11758.768459389423</v>
      </c>
      <c r="O192" s="108">
        <f>IFERROR((INDEX(lifespans_all!O$205:O$212,MATCH($B192,lifespans_all!$B$205:$B$212,0))*SR_mission_minutes!O46)*POWER(1+(Historical_Cost!$C$88/100),O$1-2021),"-")</f>
        <v>11993.943828577214</v>
      </c>
      <c r="P192" s="108">
        <f>IFERROR((INDEX(lifespans_all!P$205:P$212,MATCH($B192,lifespans_all!$B$205:$B$212,0))*SR_mission_minutes!P46)*POWER(1+(Historical_Cost!$C$88/100),P$1-2021),"-")</f>
        <v>12233.822705148757</v>
      </c>
      <c r="Q192" s="108">
        <f>IFERROR((INDEX(lifespans_all!Q$205:Q$212,MATCH($B192,lifespans_all!$B$205:$B$212,0))*SR_mission_minutes!Q46)*POWER(1+(Historical_Cost!$C$88/100),Q$1-2021),"-")</f>
        <v>12478.499159251733</v>
      </c>
      <c r="R192" s="108">
        <f>IFERROR((INDEX(lifespans_all!R$205:R$212,MATCH($B192,lifespans_all!$B$205:$B$212,0))*SR_mission_minutes!R46)*POWER(1+(Historical_Cost!$C$88/100),R$1-2021),"-")</f>
        <v>12728.069142436765</v>
      </c>
      <c r="S192" s="108">
        <f>IFERROR((INDEX(lifespans_all!S$205:S$212,MATCH($B192,lifespans_all!$B$205:$B$212,0))*SR_mission_minutes!S46)*POWER(1+(Historical_Cost!$C$88/100),S$1-2021),"-")</f>
        <v>12982.630525285502</v>
      </c>
      <c r="T192" s="108">
        <f>IFERROR((INDEX(lifespans_all!T$205:T$212,MATCH($B192,lifespans_all!$B$205:$B$212,0))*SR_mission_minutes!T46)*POWER(1+(Historical_Cost!$C$88/100),T$1-2021),"-")</f>
        <v>13242.283135791213</v>
      </c>
      <c r="U192" s="108">
        <f>IFERROR((INDEX(lifespans_all!U$205:U$212,MATCH($B192,lifespans_all!$B$205:$B$212,0))*SR_mission_minutes!U46)*POWER(1+(Historical_Cost!$C$88/100),U$1-2021),"-")</f>
        <v>13507.128798507036</v>
      </c>
      <c r="V192" s="108">
        <f>IFERROR((INDEX(lifespans_all!V$205:V$212,MATCH($B192,lifespans_all!$B$205:$B$212,0))*SR_mission_minutes!V46)*POWER(1+(Historical_Cost!$C$88/100),V$1-2021),"-")</f>
        <v>13777.271374477175</v>
      </c>
    </row>
    <row r="193" spans="1:22" x14ac:dyDescent="0.25">
      <c r="A193" s="24" t="s">
        <v>88</v>
      </c>
      <c r="B193" s="23" t="s">
        <v>80</v>
      </c>
      <c r="C193" s="108" t="str">
        <f>IFERROR((INDEX(lifespans_all!C$205:C$212,MATCH($B193,lifespans_all!$B$205:$B$212,0))*SR_mission_minutes!C47)*POWER(1+(Historical_Cost!$C$88/100),C$1-2021),"-")</f>
        <v>-</v>
      </c>
      <c r="D193" s="108" t="str">
        <f>IFERROR((INDEX(lifespans_all!D$205:D$212,MATCH($B193,lifespans_all!$B$205:$B$212,0))*SR_mission_minutes!D47)*POWER(1+(Historical_Cost!$C$88/100),D$1-2021),"-")</f>
        <v>-</v>
      </c>
      <c r="E193" s="108" t="str">
        <f>IFERROR((INDEX(lifespans_all!E$205:E$212,MATCH($B193,lifespans_all!$B$205:$B$212,0))*SR_mission_minutes!E47)*POWER(1+(Historical_Cost!$C$88/100),E$1-2021),"-")</f>
        <v>-</v>
      </c>
      <c r="F193" s="108" t="str">
        <f>IFERROR((INDEX(lifespans_all!F$205:F$212,MATCH($B193,lifespans_all!$B$205:$B$212,0))*SR_mission_minutes!F47)*POWER(1+(Historical_Cost!$C$88/100),F$1-2021),"-")</f>
        <v>-</v>
      </c>
      <c r="G193" s="108" t="str">
        <f>IFERROR((INDEX(lifespans_all!G$205:G$212,MATCH($B193,lifespans_all!$B$205:$B$212,0))*SR_mission_minutes!G47)*POWER(1+(Historical_Cost!$C$88/100),G$1-2021),"-")</f>
        <v>-</v>
      </c>
      <c r="H193" s="108" t="str">
        <f>IFERROR((INDEX(lifespans_all!H$205:H$212,MATCH($B193,lifespans_all!$B$205:$B$212,0))*SR_mission_minutes!H47)*POWER(1+(Historical_Cost!$C$88/100),H$1-2021),"-")</f>
        <v>-</v>
      </c>
      <c r="I193" s="108" t="str">
        <f>IFERROR((INDEX(lifespans_all!I$205:I$212,MATCH($B193,lifespans_all!$B$205:$B$212,0))*SR_mission_minutes!I47)*POWER(1+(Historical_Cost!$C$88/100),I$1-2021),"-")</f>
        <v>-</v>
      </c>
      <c r="J193" s="108" t="str">
        <f>IFERROR((INDEX(lifespans_all!J$205:J$212,MATCH($B193,lifespans_all!$B$205:$B$212,0))*SR_mission_minutes!J47)*POWER(1+(Historical_Cost!$C$88/100),J$1-2021),"-")</f>
        <v>-</v>
      </c>
      <c r="K193" s="108" t="str">
        <f>IFERROR((INDEX(lifespans_all!K$205:K$212,MATCH($B193,lifespans_all!$B$205:$B$212,0))*SR_mission_minutes!K47)*POWER(1+(Historical_Cost!$C$88/100),K$1-2021),"-")</f>
        <v>-</v>
      </c>
      <c r="L193" s="108" t="str">
        <f>IFERROR((INDEX(lifespans_all!L$205:L$212,MATCH($B193,lifespans_all!$B$205:$B$212,0))*SR_mission_minutes!L47)*POWER(1+(Historical_Cost!$C$88/100),L$1-2021),"-")</f>
        <v>-</v>
      </c>
      <c r="M193" s="108" t="str">
        <f>IFERROR((INDEX(lifespans_all!M$205:M$212,MATCH($B193,lifespans_all!$B$205:$B$212,0))*SR_mission_minutes!M47)*POWER(1+(Historical_Cost!$C$88/100),M$1-2021),"-")</f>
        <v>-</v>
      </c>
      <c r="N193" s="108" t="str">
        <f>IFERROR((INDEX(lifespans_all!N$205:N$212,MATCH($B193,lifespans_all!$B$205:$B$212,0))*SR_mission_minutes!N47)*POWER(1+(Historical_Cost!$C$88/100),N$1-2021),"-")</f>
        <v>-</v>
      </c>
      <c r="O193" s="108" t="str">
        <f>IFERROR((INDEX(lifespans_all!O$205:O$212,MATCH($B193,lifespans_all!$B$205:$B$212,0))*SR_mission_minutes!O47)*POWER(1+(Historical_Cost!$C$88/100),O$1-2021),"-")</f>
        <v>-</v>
      </c>
      <c r="P193" s="108" t="str">
        <f>IFERROR((INDEX(lifespans_all!P$205:P$212,MATCH($B193,lifespans_all!$B$205:$B$212,0))*SR_mission_minutes!P47)*POWER(1+(Historical_Cost!$C$88/100),P$1-2021),"-")</f>
        <v>-</v>
      </c>
      <c r="Q193" s="108" t="str">
        <f>IFERROR((INDEX(lifespans_all!Q$205:Q$212,MATCH($B193,lifespans_all!$B$205:$B$212,0))*SR_mission_minutes!Q47)*POWER(1+(Historical_Cost!$C$88/100),Q$1-2021),"-")</f>
        <v>-</v>
      </c>
      <c r="R193" s="108" t="str">
        <f>IFERROR((INDEX(lifespans_all!R$205:R$212,MATCH($B193,lifespans_all!$B$205:$B$212,0))*SR_mission_minutes!R47)*POWER(1+(Historical_Cost!$C$88/100),R$1-2021),"-")</f>
        <v>-</v>
      </c>
      <c r="S193" s="108" t="str">
        <f>IFERROR((INDEX(lifespans_all!S$205:S$212,MATCH($B193,lifespans_all!$B$205:$B$212,0))*SR_mission_minutes!S47)*POWER(1+(Historical_Cost!$C$88/100),S$1-2021),"-")</f>
        <v>-</v>
      </c>
      <c r="T193" s="108" t="str">
        <f>IFERROR((INDEX(lifespans_all!T$205:T$212,MATCH($B193,lifespans_all!$B$205:$B$212,0))*SR_mission_minutes!T47)*POWER(1+(Historical_Cost!$C$88/100),T$1-2021),"-")</f>
        <v>-</v>
      </c>
      <c r="U193" s="108" t="str">
        <f>IFERROR((INDEX(lifespans_all!U$205:U$212,MATCH($B193,lifespans_all!$B$205:$B$212,0))*SR_mission_minutes!U47)*POWER(1+(Historical_Cost!$C$88/100),U$1-2021),"-")</f>
        <v>-</v>
      </c>
      <c r="V193" s="108" t="str">
        <f>IFERROR((INDEX(lifespans_all!V$205:V$212,MATCH($B193,lifespans_all!$B$205:$B$212,0))*SR_mission_minutes!V47)*POWER(1+(Historical_Cost!$C$88/100),V$1-2021),"-")</f>
        <v>-</v>
      </c>
    </row>
    <row r="194" spans="1:22" x14ac:dyDescent="0.25">
      <c r="A194" s="24" t="s">
        <v>88</v>
      </c>
      <c r="B194" s="23" t="s">
        <v>44</v>
      </c>
      <c r="C194" s="108">
        <f>IFERROR((INDEX(lifespans_all!C$205:C$212,MATCH($B194,lifespans_all!$B$205:$B$212,0))*SR_mission_minutes!C48)*POWER(1+(Historical_Cost!$C$88/100),C$1-2021),"-")</f>
        <v>-46.050000000000004</v>
      </c>
      <c r="D194" s="108">
        <f>IFERROR((INDEX(lifespans_all!D$205:D$212,MATCH($B194,lifespans_all!$B$205:$B$212,0))*SR_mission_minutes!D48)*POWER(1+(Historical_Cost!$C$88/100),D$1-2021),"-")</f>
        <v>-93.942000000000007</v>
      </c>
      <c r="E194" s="108">
        <f>IFERROR((INDEX(lifespans_all!E$205:E$212,MATCH($B194,lifespans_all!$B$205:$B$212,0))*SR_mission_minutes!E48)*POWER(1+(Historical_Cost!$C$88/100),E$1-2021),"-")</f>
        <v>-143.73126000000002</v>
      </c>
      <c r="F194" s="108">
        <f>IFERROR((INDEX(lifespans_all!F$205:F$212,MATCH($B194,lifespans_all!$B$205:$B$212,0))*SR_mission_minutes!F48)*POWER(1+(Historical_Cost!$C$88/100),F$1-2021),"-")</f>
        <v>-195.47451359999999</v>
      </c>
      <c r="G194" s="108">
        <f>IFERROR((INDEX(lifespans_all!G$205:G$212,MATCH($B194,lifespans_all!$B$205:$B$212,0))*SR_mission_minutes!G48)*POWER(1+(Historical_Cost!$C$88/100),G$1-2021),"-")</f>
        <v>249.23000483999999</v>
      </c>
      <c r="H194" s="108">
        <f>IFERROR((INDEX(lifespans_all!H$205:H$212,MATCH($B194,lifespans_all!$B$205:$B$212,0))*SR_mission_minutes!H48)*POWER(1+(Historical_Cost!$C$88/100),H$1-2021),"-")</f>
        <v>203.37168394944001</v>
      </c>
      <c r="I194" s="108">
        <f>IFERROR((INDEX(lifespans_all!I$205:I$212,MATCH($B194,lifespans_all!$B$205:$B$212,0))*SR_mission_minutes!I48)*POWER(1+(Historical_Cost!$C$88/100),I$1-2021),"-")</f>
        <v>155.57933822132165</v>
      </c>
      <c r="J194" s="108">
        <f>IFERROR((INDEX(lifespans_all!J$205:J$212,MATCH($B194,lifespans_all!$B$205:$B$212,0))*SR_mission_minutes!J48)*POWER(1+(Historical_Cost!$C$88/100),J$1-2021),"-")</f>
        <v>105.79394999049872</v>
      </c>
      <c r="K194" s="108">
        <f>IFERROR((INDEX(lifespans_all!K$205:K$212,MATCH($B194,lifespans_all!$B$205:$B$212,0))*SR_mission_minutes!K48)*POWER(1+(Historical_Cost!$C$88/100),K$1-2021),"-")</f>
        <v>53.954914495154377</v>
      </c>
      <c r="L194" s="108">
        <f>IFERROR((INDEX(lifespans_all!L$205:L$212,MATCH($B194,lifespans_all!$B$205:$B$212,0))*SR_mission_minutes!L48)*POWER(1+(Historical_Cost!$C$88/100),L$1-2021),"-")</f>
        <v>0</v>
      </c>
      <c r="M194" s="108">
        <f>IFERROR((INDEX(lifespans_all!M$205:M$212,MATCH($B194,lifespans_all!$B$205:$B$212,0))*SR_mission_minutes!M48)*POWER(1+(Historical_Cost!$C$88/100),M$1-2021),"-")</f>
        <v>0</v>
      </c>
      <c r="N194" s="108">
        <f>IFERROR((INDEX(lifespans_all!N$205:N$212,MATCH($B194,lifespans_all!$B$205:$B$212,0))*SR_mission_minutes!N48)*POWER(1+(Historical_Cost!$C$88/100),N$1-2021),"-")</f>
        <v>0</v>
      </c>
      <c r="O194" s="108">
        <f>IFERROR((INDEX(lifespans_all!O$205:O$212,MATCH($B194,lifespans_all!$B$205:$B$212,0))*SR_mission_minutes!O48)*POWER(1+(Historical_Cost!$C$88/100),O$1-2021),"-")</f>
        <v>0</v>
      </c>
      <c r="P194" s="108">
        <f>IFERROR((INDEX(lifespans_all!P$205:P$212,MATCH($B194,lifespans_all!$B$205:$B$212,0))*SR_mission_minutes!P48)*POWER(1+(Historical_Cost!$C$88/100),P$1-2021),"-")</f>
        <v>0</v>
      </c>
      <c r="Q194" s="108">
        <f>IFERROR((INDEX(lifespans_all!Q$205:Q$212,MATCH($B194,lifespans_all!$B$205:$B$212,0))*SR_mission_minutes!Q48)*POWER(1+(Historical_Cost!$C$88/100),Q$1-2021),"-")</f>
        <v>0</v>
      </c>
      <c r="R194" s="108">
        <f>IFERROR((INDEX(lifespans_all!R$205:R$212,MATCH($B194,lifespans_all!$B$205:$B$212,0))*SR_mission_minutes!R48)*POWER(1+(Historical_Cost!$C$88/100),R$1-2021),"-")</f>
        <v>0</v>
      </c>
      <c r="S194" s="108">
        <f>IFERROR((INDEX(lifespans_all!S$205:S$212,MATCH($B194,lifespans_all!$B$205:$B$212,0))*SR_mission_minutes!S48)*POWER(1+(Historical_Cost!$C$88/100),S$1-2021),"-")</f>
        <v>0</v>
      </c>
      <c r="T194" s="108">
        <f>IFERROR((INDEX(lifespans_all!T$205:T$212,MATCH($B194,lifespans_all!$B$205:$B$212,0))*SR_mission_minutes!T48)*POWER(1+(Historical_Cost!$C$88/100),T$1-2021),"-")</f>
        <v>0</v>
      </c>
      <c r="U194" s="108">
        <f>IFERROR((INDEX(lifespans_all!U$205:U$212,MATCH($B194,lifespans_all!$B$205:$B$212,0))*SR_mission_minutes!U48)*POWER(1+(Historical_Cost!$C$88/100),U$1-2021),"-")</f>
        <v>0</v>
      </c>
      <c r="V194" s="108">
        <f>IFERROR((INDEX(lifespans_all!V$205:V$212,MATCH($B194,lifespans_all!$B$205:$B$212,0))*SR_mission_minutes!V48)*POWER(1+(Historical_Cost!$C$88/100),V$1-2021),"-")</f>
        <v>0</v>
      </c>
    </row>
    <row r="195" spans="1:22" x14ac:dyDescent="0.25">
      <c r="A195" s="24" t="s">
        <v>88</v>
      </c>
      <c r="B195" s="23" t="s">
        <v>81</v>
      </c>
      <c r="C195" s="108" t="str">
        <f>IFERROR((INDEX(lifespans_all!C$205:C$212,MATCH($B195,lifespans_all!$B$205:$B$212,0))*SR_mission_minutes!C49)*POWER(1+(Historical_Cost!$C$88/100),C$1-2021),"-")</f>
        <v>-</v>
      </c>
      <c r="D195" s="108" t="str">
        <f>IFERROR((INDEX(lifespans_all!D$205:D$212,MATCH($B195,lifespans_all!$B$205:$B$212,0))*SR_mission_minutes!D49)*POWER(1+(Historical_Cost!$C$88/100),D$1-2021),"-")</f>
        <v>-</v>
      </c>
      <c r="E195" s="108" t="str">
        <f>IFERROR((INDEX(lifespans_all!E$205:E$212,MATCH($B195,lifespans_all!$B$205:$B$212,0))*SR_mission_minutes!E49)*POWER(1+(Historical_Cost!$C$88/100),E$1-2021),"-")</f>
        <v>-</v>
      </c>
      <c r="F195" s="108" t="str">
        <f>IFERROR((INDEX(lifespans_all!F$205:F$212,MATCH($B195,lifespans_all!$B$205:$B$212,0))*SR_mission_minutes!F49)*POWER(1+(Historical_Cost!$C$88/100),F$1-2021),"-")</f>
        <v>-</v>
      </c>
      <c r="G195" s="108" t="str">
        <f>IFERROR((INDEX(lifespans_all!G$205:G$212,MATCH($B195,lifespans_all!$B$205:$B$212,0))*SR_mission_minutes!G49)*POWER(1+(Historical_Cost!$C$88/100),G$1-2021),"-")</f>
        <v>-</v>
      </c>
      <c r="H195" s="108" t="str">
        <f>IFERROR((INDEX(lifespans_all!H$205:H$212,MATCH($B195,lifespans_all!$B$205:$B$212,0))*SR_mission_minutes!H49)*POWER(1+(Historical_Cost!$C$88/100),H$1-2021),"-")</f>
        <v>-</v>
      </c>
      <c r="I195" s="108" t="str">
        <f>IFERROR((INDEX(lifespans_all!I$205:I$212,MATCH($B195,lifespans_all!$B$205:$B$212,0))*SR_mission_minutes!I49)*POWER(1+(Historical_Cost!$C$88/100),I$1-2021),"-")</f>
        <v>-</v>
      </c>
      <c r="J195" s="108" t="str">
        <f>IFERROR((INDEX(lifespans_all!J$205:J$212,MATCH($B195,lifespans_all!$B$205:$B$212,0))*SR_mission_minutes!J49)*POWER(1+(Historical_Cost!$C$88/100),J$1-2021),"-")</f>
        <v>-</v>
      </c>
      <c r="K195" s="108" t="str">
        <f>IFERROR((INDEX(lifespans_all!K$205:K$212,MATCH($B195,lifespans_all!$B$205:$B$212,0))*SR_mission_minutes!K49)*POWER(1+(Historical_Cost!$C$88/100),K$1-2021),"-")</f>
        <v>-</v>
      </c>
      <c r="L195" s="108" t="str">
        <f>IFERROR((INDEX(lifespans_all!L$205:L$212,MATCH($B195,lifespans_all!$B$205:$B$212,0))*SR_mission_minutes!L49)*POWER(1+(Historical_Cost!$C$88/100),L$1-2021),"-")</f>
        <v>-</v>
      </c>
      <c r="M195" s="108" t="str">
        <f>IFERROR((INDEX(lifespans_all!M$205:M$212,MATCH($B195,lifespans_all!$B$205:$B$212,0))*SR_mission_minutes!M49)*POWER(1+(Historical_Cost!$C$88/100),M$1-2021),"-")</f>
        <v>-</v>
      </c>
      <c r="N195" s="108" t="str">
        <f>IFERROR((INDEX(lifespans_all!N$205:N$212,MATCH($B195,lifespans_all!$B$205:$B$212,0))*SR_mission_minutes!N49)*POWER(1+(Historical_Cost!$C$88/100),N$1-2021),"-")</f>
        <v>-</v>
      </c>
      <c r="O195" s="108" t="str">
        <f>IFERROR((INDEX(lifespans_all!O$205:O$212,MATCH($B195,lifespans_all!$B$205:$B$212,0))*SR_mission_minutes!O49)*POWER(1+(Historical_Cost!$C$88/100),O$1-2021),"-")</f>
        <v>-</v>
      </c>
      <c r="P195" s="108" t="str">
        <f>IFERROR((INDEX(lifespans_all!P$205:P$212,MATCH($B195,lifespans_all!$B$205:$B$212,0))*SR_mission_minutes!P49)*POWER(1+(Historical_Cost!$C$88/100),P$1-2021),"-")</f>
        <v>-</v>
      </c>
      <c r="Q195" s="108" t="str">
        <f>IFERROR((INDEX(lifespans_all!Q$205:Q$212,MATCH($B195,lifespans_all!$B$205:$B$212,0))*SR_mission_minutes!Q49)*POWER(1+(Historical_Cost!$C$88/100),Q$1-2021),"-")</f>
        <v>-</v>
      </c>
      <c r="R195" s="108" t="str">
        <f>IFERROR((INDEX(lifespans_all!R$205:R$212,MATCH($B195,lifespans_all!$B$205:$B$212,0))*SR_mission_minutes!R49)*POWER(1+(Historical_Cost!$C$88/100),R$1-2021),"-")</f>
        <v>-</v>
      </c>
      <c r="S195" s="108" t="str">
        <f>IFERROR((INDEX(lifespans_all!S$205:S$212,MATCH($B195,lifespans_all!$B$205:$B$212,0))*SR_mission_minutes!S49)*POWER(1+(Historical_Cost!$C$88/100),S$1-2021),"-")</f>
        <v>-</v>
      </c>
      <c r="T195" s="108" t="str">
        <f>IFERROR((INDEX(lifespans_all!T$205:T$212,MATCH($B195,lifespans_all!$B$205:$B$212,0))*SR_mission_minutes!T49)*POWER(1+(Historical_Cost!$C$88/100),T$1-2021),"-")</f>
        <v>-</v>
      </c>
      <c r="U195" s="108" t="str">
        <f>IFERROR((INDEX(lifespans_all!U$205:U$212,MATCH($B195,lifespans_all!$B$205:$B$212,0))*SR_mission_minutes!U49)*POWER(1+(Historical_Cost!$C$88/100),U$1-2021),"-")</f>
        <v>-</v>
      </c>
      <c r="V195" s="108" t="str">
        <f>IFERROR((INDEX(lifespans_all!V$205:V$212,MATCH($B195,lifespans_all!$B$205:$B$212,0))*SR_mission_minutes!V49)*POWER(1+(Historical_Cost!$C$88/100),V$1-2021),"-")</f>
        <v>-</v>
      </c>
    </row>
    <row r="196" spans="1:22" x14ac:dyDescent="0.25">
      <c r="A196" s="24" t="s">
        <v>88</v>
      </c>
      <c r="B196" s="23" t="s">
        <v>42</v>
      </c>
      <c r="C196" s="108" t="str">
        <f>IFERROR((INDEX(lifespans_all!C$205:C$212,MATCH($B196,lifespans_all!$B$205:$B$212,0))*SR_mission_minutes!C50)*POWER(1+(Historical_Cost!$C$88/100),C$1-2021),"-")</f>
        <v>-</v>
      </c>
      <c r="D196" s="108" t="str">
        <f>IFERROR((INDEX(lifespans_all!D$205:D$212,MATCH($B196,lifespans_all!$B$205:$B$212,0))*SR_mission_minutes!D50)*POWER(1+(Historical_Cost!$C$88/100),D$1-2021),"-")</f>
        <v>-</v>
      </c>
      <c r="E196" s="108" t="str">
        <f>IFERROR((INDEX(lifespans_all!E$205:E$212,MATCH($B196,lifespans_all!$B$205:$B$212,0))*SR_mission_minutes!E50)*POWER(1+(Historical_Cost!$C$88/100),E$1-2021),"-")</f>
        <v>-</v>
      </c>
      <c r="F196" s="108" t="str">
        <f>IFERROR((INDEX(lifespans_all!F$205:F$212,MATCH($B196,lifespans_all!$B$205:$B$212,0))*SR_mission_minutes!F50)*POWER(1+(Historical_Cost!$C$88/100),F$1-2021),"-")</f>
        <v>-</v>
      </c>
      <c r="G196" s="108" t="str">
        <f>IFERROR((INDEX(lifespans_all!G$205:G$212,MATCH($B196,lifespans_all!$B$205:$B$212,0))*SR_mission_minutes!G50)*POWER(1+(Historical_Cost!$C$88/100),G$1-2021),"-")</f>
        <v>-</v>
      </c>
      <c r="H196" s="108" t="str">
        <f>IFERROR((INDEX(lifespans_all!H$205:H$212,MATCH($B196,lifespans_all!$B$205:$B$212,0))*SR_mission_minutes!H50)*POWER(1+(Historical_Cost!$C$88/100),H$1-2021),"-")</f>
        <v>-</v>
      </c>
      <c r="I196" s="108" t="str">
        <f>IFERROR((INDEX(lifespans_all!I$205:I$212,MATCH($B196,lifespans_all!$B$205:$B$212,0))*SR_mission_minutes!I50)*POWER(1+(Historical_Cost!$C$88/100),I$1-2021),"-")</f>
        <v>-</v>
      </c>
      <c r="J196" s="108" t="str">
        <f>IFERROR((INDEX(lifespans_all!J$205:J$212,MATCH($B196,lifespans_all!$B$205:$B$212,0))*SR_mission_minutes!J50)*POWER(1+(Historical_Cost!$C$88/100),J$1-2021),"-")</f>
        <v>-</v>
      </c>
      <c r="K196" s="108" t="str">
        <f>IFERROR((INDEX(lifespans_all!K$205:K$212,MATCH($B196,lifespans_all!$B$205:$B$212,0))*SR_mission_minutes!K50)*POWER(1+(Historical_Cost!$C$88/100),K$1-2021),"-")</f>
        <v>-</v>
      </c>
      <c r="L196" s="108" t="str">
        <f>IFERROR((INDEX(lifespans_all!L$205:L$212,MATCH($B196,lifespans_all!$B$205:$B$212,0))*SR_mission_minutes!L50)*POWER(1+(Historical_Cost!$C$88/100),L$1-2021),"-")</f>
        <v>-</v>
      </c>
      <c r="M196" s="108" t="str">
        <f>IFERROR((INDEX(lifespans_all!M$205:M$212,MATCH($B196,lifespans_all!$B$205:$B$212,0))*SR_mission_minutes!M50)*POWER(1+(Historical_Cost!$C$88/100),M$1-2021),"-")</f>
        <v>-</v>
      </c>
      <c r="N196" s="108" t="str">
        <f>IFERROR((INDEX(lifespans_all!N$205:N$212,MATCH($B196,lifespans_all!$B$205:$B$212,0))*SR_mission_minutes!N50)*POWER(1+(Historical_Cost!$C$88/100),N$1-2021),"-")</f>
        <v>-</v>
      </c>
      <c r="O196" s="108" t="str">
        <f>IFERROR((INDEX(lifespans_all!O$205:O$212,MATCH($B196,lifespans_all!$B$205:$B$212,0))*SR_mission_minutes!O50)*POWER(1+(Historical_Cost!$C$88/100),O$1-2021),"-")</f>
        <v>-</v>
      </c>
      <c r="P196" s="108" t="str">
        <f>IFERROR((INDEX(lifespans_all!P$205:P$212,MATCH($B196,lifespans_all!$B$205:$B$212,0))*SR_mission_minutes!P50)*POWER(1+(Historical_Cost!$C$88/100),P$1-2021),"-")</f>
        <v>-</v>
      </c>
      <c r="Q196" s="108" t="str">
        <f>IFERROR((INDEX(lifespans_all!Q$205:Q$212,MATCH($B196,lifespans_all!$B$205:$B$212,0))*SR_mission_minutes!Q50)*POWER(1+(Historical_Cost!$C$88/100),Q$1-2021),"-")</f>
        <v>-</v>
      </c>
      <c r="R196" s="108" t="str">
        <f>IFERROR((INDEX(lifespans_all!R$205:R$212,MATCH($B196,lifespans_all!$B$205:$B$212,0))*SR_mission_minutes!R50)*POWER(1+(Historical_Cost!$C$88/100),R$1-2021),"-")</f>
        <v>-</v>
      </c>
      <c r="S196" s="108" t="str">
        <f>IFERROR((INDEX(lifespans_all!S$205:S$212,MATCH($B196,lifespans_all!$B$205:$B$212,0))*SR_mission_minutes!S50)*POWER(1+(Historical_Cost!$C$88/100),S$1-2021),"-")</f>
        <v>-</v>
      </c>
      <c r="T196" s="108" t="str">
        <f>IFERROR((INDEX(lifespans_all!T$205:T$212,MATCH($B196,lifespans_all!$B$205:$B$212,0))*SR_mission_minutes!T50)*POWER(1+(Historical_Cost!$C$88/100),T$1-2021),"-")</f>
        <v>-</v>
      </c>
      <c r="U196" s="108" t="str">
        <f>IFERROR((INDEX(lifespans_all!U$205:U$212,MATCH($B196,lifespans_all!$B$205:$B$212,0))*SR_mission_minutes!U50)*POWER(1+(Historical_Cost!$C$88/100),U$1-2021),"-")</f>
        <v>-</v>
      </c>
      <c r="V196" s="108" t="str">
        <f>IFERROR((INDEX(lifespans_all!V$205:V$212,MATCH($B196,lifespans_all!$B$205:$B$212,0))*SR_mission_minutes!V50)*POWER(1+(Historical_Cost!$C$88/100),V$1-2021),"-")</f>
        <v>-</v>
      </c>
    </row>
    <row r="197" spans="1:22" x14ac:dyDescent="0.25">
      <c r="A197" s="24" t="s">
        <v>88</v>
      </c>
      <c r="B197" s="23" t="s">
        <v>45</v>
      </c>
      <c r="C197" s="108">
        <f>IFERROR((INDEX(lifespans_all!C$205:C$212,MATCH($B197,lifespans_all!$B$205:$B$212,0))*SR_mission_minutes!C51)*POWER(1+(Historical_Cost!$C$88/100),C$1-2021),"-")</f>
        <v>-10121.800000000001</v>
      </c>
      <c r="D197" s="108">
        <f>IFERROR((INDEX(lifespans_all!D$205:D$212,MATCH($B197,lifespans_all!$B$205:$B$212,0))*SR_mission_minutes!D51)*POWER(1+(Historical_Cost!$C$88/100),D$1-2021),"-")</f>
        <v>13765.648000000003</v>
      </c>
      <c r="E197" s="108">
        <f>IFERROR((INDEX(lifespans_all!E$205:E$212,MATCH($B197,lifespans_all!$B$205:$B$212,0))*SR_mission_minutes!E51)*POWER(1+(Historical_Cost!$C$88/100),E$1-2021),"-")</f>
        <v>3510.2402400000033</v>
      </c>
      <c r="F197" s="108">
        <f>IFERROR((INDEX(lifespans_all!F$205:F$212,MATCH($B197,lifespans_all!$B$205:$B$212,0))*SR_mission_minutes!F51)*POWER(1+(Historical_Cost!$C$88/100),F$1-2021),"-")</f>
        <v>-7160.8900895999986</v>
      </c>
      <c r="G197" s="108">
        <f>IFERROR((INDEX(lifespans_all!G$205:G$212,MATCH($B197,lifespans_all!$B$205:$B$212,0))*SR_mission_minutes!G51)*POWER(1+(Historical_Cost!$C$88/100),G$1-2021),"-")</f>
        <v>-18260.269728480002</v>
      </c>
      <c r="H197" s="108">
        <f>IFERROR((INDEX(lifespans_all!H$205:H$212,MATCH($B197,lifespans_all!$B$205:$B$212,0))*SR_mission_minutes!H51)*POWER(1+(Historical_Cost!$C$88/100),H$1-2021),"-")</f>
        <v>7450.1900492198392</v>
      </c>
      <c r="I197" s="108">
        <f>IFERROR((INDEX(lifespans_all!I$205:I$212,MATCH($B197,lifespans_all!$B$205:$B$212,0))*SR_mission_minutes!I51)*POWER(1+(Historical_Cost!$C$88/100),I$1-2021),"-")</f>
        <v>-3799.5969251021224</v>
      </c>
      <c r="J197" s="108">
        <f>IFERROR((INDEX(lifespans_all!J$205:J$212,MATCH($B197,lifespans_all!$B$205:$B$212,0))*SR_mission_minutes!J51)*POWER(1+(Historical_Cost!$C$88/100),J$1-2021),"-")</f>
        <v>-15502.355454416638</v>
      </c>
      <c r="K197" s="108">
        <f>IFERROR((INDEX(lifespans_all!K$205:K$212,MATCH($B197,lifespans_all!$B$205:$B$212,0))*SR_mission_minutes!K51)*POWER(1+(Historical_Cost!$C$88/100),K$1-2021),"-")</f>
        <v>-27671.704486133698</v>
      </c>
      <c r="L197" s="108">
        <f>IFERROR((INDEX(lifespans_all!L$205:L$212,MATCH($B197,lifespans_all!$B$205:$B$212,0))*SR_mission_minutes!L51)*POWER(1+(Historical_Cost!$C$88/100),L$1-2021),"-")</f>
        <v>-40321.626536937671</v>
      </c>
      <c r="M197" s="108">
        <f>IFERROR((INDEX(lifespans_all!M$205:M$212,MATCH($B197,lifespans_all!$B$205:$B$212,0))*SR_mission_minutes!M51)*POWER(1+(Historical_Cost!$C$88/100),M$1-2021),"-")</f>
        <v>-41128.059067676426</v>
      </c>
      <c r="N197" s="108">
        <f>IFERROR((INDEX(lifespans_all!N$205:N$212,MATCH($B197,lifespans_all!$B$205:$B$212,0))*SR_mission_minutes!N51)*POWER(1+(Historical_Cost!$C$88/100),N$1-2021),"-")</f>
        <v>-41950.620249029947</v>
      </c>
      <c r="O197" s="108">
        <f>IFERROR((INDEX(lifespans_all!O$205:O$212,MATCH($B197,lifespans_all!$B$205:$B$212,0))*SR_mission_minutes!O51)*POWER(1+(Historical_Cost!$C$88/100),O$1-2021),"-")</f>
        <v>-42789.632654010551</v>
      </c>
      <c r="P197" s="108">
        <f>IFERROR((INDEX(lifespans_all!P$205:P$212,MATCH($B197,lifespans_all!$B$205:$B$212,0))*SR_mission_minutes!P51)*POWER(1+(Historical_Cost!$C$88/100),P$1-2021),"-")</f>
        <v>-43645.425307090765</v>
      </c>
      <c r="Q197" s="108">
        <f>IFERROR((INDEX(lifespans_all!Q$205:Q$212,MATCH($B197,lifespans_all!$B$205:$B$212,0))*SR_mission_minutes!Q51)*POWER(1+(Historical_Cost!$C$88/100),Q$1-2021),"-")</f>
        <v>-44518.333813232581</v>
      </c>
      <c r="R197" s="108">
        <f>IFERROR((INDEX(lifespans_all!R$205:R$212,MATCH($B197,lifespans_all!$B$205:$B$212,0))*SR_mission_minutes!R51)*POWER(1+(Historical_Cost!$C$88/100),R$1-2021),"-")</f>
        <v>-45408.70048949722</v>
      </c>
      <c r="S197" s="108">
        <f>IFERROR((INDEX(lifespans_all!S$205:S$212,MATCH($B197,lifespans_all!$B$205:$B$212,0))*SR_mission_minutes!S51)*POWER(1+(Historical_Cost!$C$88/100),S$1-2021),"-")</f>
        <v>-46316.874499287173</v>
      </c>
      <c r="T197" s="108">
        <f>IFERROR((INDEX(lifespans_all!T$205:T$212,MATCH($B197,lifespans_all!$B$205:$B$212,0))*SR_mission_minutes!T51)*POWER(1+(Historical_Cost!$C$88/100),T$1-2021),"-")</f>
        <v>-47243.211989272917</v>
      </c>
      <c r="U197" s="108">
        <f>IFERROR((INDEX(lifespans_all!U$205:U$212,MATCH($B197,lifespans_all!$B$205:$B$212,0))*SR_mission_minutes!U51)*POWER(1+(Historical_Cost!$C$88/100),U$1-2021),"-")</f>
        <v>-48188.076229058373</v>
      </c>
      <c r="V197" s="108">
        <f>IFERROR((INDEX(lifespans_all!V$205:V$212,MATCH($B197,lifespans_all!$B$205:$B$212,0))*SR_mission_minutes!V51)*POWER(1+(Historical_Cost!$C$88/100),V$1-2021),"-")</f>
        <v>-49151.837753639542</v>
      </c>
    </row>
    <row r="198" spans="1:22" x14ac:dyDescent="0.25">
      <c r="A198" s="48"/>
      <c r="B198" s="48"/>
      <c r="C198" s="121"/>
      <c r="D198" s="2"/>
      <c r="E198" s="2"/>
      <c r="F198" s="2"/>
      <c r="G198" s="2"/>
      <c r="H198" s="2"/>
      <c r="I198" s="2"/>
      <c r="J198" s="2"/>
      <c r="K198" s="2"/>
      <c r="L198" s="2"/>
      <c r="M198" s="2"/>
      <c r="N198" s="2"/>
      <c r="O198" s="2"/>
      <c r="P198" s="2"/>
      <c r="Q198" s="2"/>
      <c r="R198" s="2"/>
      <c r="S198" s="2"/>
      <c r="T198" s="2"/>
      <c r="U198" s="2"/>
      <c r="V198" s="2"/>
    </row>
    <row r="199" spans="1:22" x14ac:dyDescent="0.25">
      <c r="A199" s="48"/>
      <c r="B199" s="48"/>
      <c r="C199" s="25">
        <f t="shared" ref="C199:U199" si="26">SUM(C148:C197)</f>
        <v>1608507.5626984129</v>
      </c>
      <c r="D199" s="25">
        <f t="shared" si="26"/>
        <v>1474838.3320317457</v>
      </c>
      <c r="E199" s="25">
        <f t="shared" si="26"/>
        <v>1477292.3623641271</v>
      </c>
      <c r="F199" s="25">
        <f t="shared" si="26"/>
        <v>1414554.3126277206</v>
      </c>
      <c r="G199" s="25">
        <f t="shared" si="26"/>
        <v>1390829.2003844327</v>
      </c>
      <c r="H199" s="25">
        <f t="shared" si="26"/>
        <v>1345702.3908292539</v>
      </c>
      <c r="I199" s="25">
        <f t="shared" si="26"/>
        <v>1303763.9157606931</v>
      </c>
      <c r="J199" s="25">
        <f t="shared" si="26"/>
        <v>1258055.4938119804</v>
      </c>
      <c r="K199" s="25">
        <f t="shared" si="26"/>
        <v>1192712.9433915722</v>
      </c>
      <c r="L199" s="25">
        <f t="shared" si="26"/>
        <v>1124479.2862457116</v>
      </c>
      <c r="M199" s="25">
        <f t="shared" si="26"/>
        <v>1300872.7174753365</v>
      </c>
      <c r="N199" s="25">
        <f t="shared" si="26"/>
        <v>1317896.877380399</v>
      </c>
      <c r="O199" s="25">
        <f t="shared" si="26"/>
        <v>1335261.5204835627</v>
      </c>
      <c r="P199" s="25">
        <f t="shared" si="26"/>
        <v>1352973.4564487892</v>
      </c>
      <c r="Q199" s="25">
        <f t="shared" si="26"/>
        <v>1371039.631133321</v>
      </c>
      <c r="R199" s="25">
        <f t="shared" si="26"/>
        <v>1389467.1293115427</v>
      </c>
      <c r="S199" s="25">
        <f t="shared" si="26"/>
        <v>1408263.1774533291</v>
      </c>
      <c r="T199" s="25">
        <f t="shared" si="26"/>
        <v>1427435.1465579516</v>
      </c>
      <c r="U199" s="25">
        <f t="shared" si="26"/>
        <v>1446990.5550446655</v>
      </c>
      <c r="V199" s="25">
        <f>SUM(V148:V197)</f>
        <v>1466937.0717011145</v>
      </c>
    </row>
    <row r="200" spans="1:22" ht="14.4" thickBot="1" x14ac:dyDescent="0.3">
      <c r="B200" s="2" t="s">
        <v>76</v>
      </c>
      <c r="C200" s="26"/>
      <c r="D200" s="26"/>
      <c r="E200" s="26"/>
      <c r="F200" s="26"/>
      <c r="G200" s="26"/>
      <c r="H200" s="26"/>
      <c r="I200" s="26"/>
      <c r="J200" s="26"/>
      <c r="K200" s="26"/>
      <c r="L200" s="2"/>
      <c r="M200" s="2"/>
      <c r="N200" s="26"/>
      <c r="O200" s="26"/>
      <c r="P200" s="26"/>
      <c r="Q200" s="26"/>
      <c r="R200" s="26"/>
      <c r="S200" s="26"/>
      <c r="T200" s="26"/>
      <c r="U200" s="26"/>
      <c r="V200" s="26"/>
    </row>
    <row r="201" spans="1:22" x14ac:dyDescent="0.25">
      <c r="B201" s="57" t="s">
        <v>82</v>
      </c>
      <c r="C201" s="78">
        <v>2021</v>
      </c>
      <c r="D201" s="79">
        <v>2022</v>
      </c>
      <c r="E201" s="78">
        <v>2023</v>
      </c>
      <c r="F201" s="79">
        <v>2024</v>
      </c>
      <c r="G201" s="78">
        <v>2025</v>
      </c>
      <c r="H201" s="79">
        <v>2026</v>
      </c>
      <c r="I201" s="78">
        <v>2027</v>
      </c>
      <c r="J201" s="79">
        <v>2028</v>
      </c>
      <c r="K201" s="78">
        <v>2029</v>
      </c>
      <c r="L201" s="79">
        <v>2030</v>
      </c>
      <c r="M201" s="78">
        <v>2031</v>
      </c>
      <c r="N201" s="79">
        <v>2032</v>
      </c>
      <c r="O201" s="78">
        <v>2033</v>
      </c>
      <c r="P201" s="79">
        <v>2034</v>
      </c>
      <c r="Q201" s="78">
        <v>2035</v>
      </c>
      <c r="R201" s="79">
        <v>2036</v>
      </c>
      <c r="S201" s="78">
        <v>2037</v>
      </c>
      <c r="T201" s="79">
        <v>2038</v>
      </c>
      <c r="U201" s="78">
        <v>2039</v>
      </c>
      <c r="V201" s="79">
        <v>2040</v>
      </c>
    </row>
    <row r="202" spans="1:22" x14ac:dyDescent="0.25">
      <c r="B202" s="36" t="s">
        <v>43</v>
      </c>
      <c r="C202" s="81">
        <f>SUMIF($B148:$B197,$B202,C$148:C$197)</f>
        <v>402076.5</v>
      </c>
      <c r="D202" s="81">
        <f t="shared" ref="D202:V202" si="27">SUMIF($B148:$B197,$B202,D$148:D$197)</f>
        <v>342339.42</v>
      </c>
      <c r="E202" s="81">
        <f t="shared" si="27"/>
        <v>280235.83259999997</v>
      </c>
      <c r="F202" s="81">
        <f t="shared" si="27"/>
        <v>215694.97233600001</v>
      </c>
      <c r="G202" s="81">
        <f t="shared" si="27"/>
        <v>148644.18972840003</v>
      </c>
      <c r="H202" s="81">
        <f t="shared" si="27"/>
        <v>79008.904227561608</v>
      </c>
      <c r="I202" s="81">
        <f t="shared" si="27"/>
        <v>6712.556030798296</v>
      </c>
      <c r="J202" s="81">
        <f t="shared" si="27"/>
        <v>-68323.443255526479</v>
      </c>
      <c r="K202" s="81">
        <f t="shared" si="27"/>
        <v>-146179.76113571669</v>
      </c>
      <c r="L202" s="81">
        <f t="shared" si="27"/>
        <v>-226939.19595381222</v>
      </c>
      <c r="M202" s="81">
        <f t="shared" si="27"/>
        <v>-75473.579923733079</v>
      </c>
      <c r="N202" s="81">
        <f t="shared" si="27"/>
        <v>-83875.79152220767</v>
      </c>
      <c r="O202" s="81">
        <f t="shared" si="27"/>
        <v>-92446.047352651891</v>
      </c>
      <c r="P202" s="81">
        <f t="shared" si="27"/>
        <v>-101187.70829970494</v>
      </c>
      <c r="Q202" s="81">
        <f t="shared" si="27"/>
        <v>-110104.20246569905</v>
      </c>
      <c r="R202" s="81">
        <f t="shared" si="27"/>
        <v>-119199.0265150129</v>
      </c>
      <c r="S202" s="81">
        <f t="shared" si="27"/>
        <v>-128475.74704531324</v>
      </c>
      <c r="T202" s="81">
        <f t="shared" si="27"/>
        <v>-137938.00198621955</v>
      </c>
      <c r="U202" s="81">
        <f t="shared" si="27"/>
        <v>-147589.50202594389</v>
      </c>
      <c r="V202" s="81">
        <f t="shared" si="27"/>
        <v>-157434.03206646274</v>
      </c>
    </row>
    <row r="203" spans="1:22" x14ac:dyDescent="0.25">
      <c r="B203" s="36" t="s">
        <v>41</v>
      </c>
      <c r="C203" s="81">
        <f>SUMIF($B148:$B197,$B203,C$148:C$197)</f>
        <v>1100945.5555555555</v>
      </c>
      <c r="D203" s="81">
        <f t="shared" ref="D203:V203" si="28">SUMIF($B148:$B197,$B203,D$148:D$197)</f>
        <v>1036913.1822222222</v>
      </c>
      <c r="E203" s="81">
        <f t="shared" si="28"/>
        <v>1109029.6426888888</v>
      </c>
      <c r="F203" s="81">
        <f t="shared" si="28"/>
        <v>1121358.5425711111</v>
      </c>
      <c r="G203" s="81">
        <f t="shared" si="28"/>
        <v>1177892.6681427201</v>
      </c>
      <c r="H203" s="81">
        <f t="shared" si="28"/>
        <v>1210271.1416534982</v>
      </c>
      <c r="I203" s="81">
        <f t="shared" si="28"/>
        <v>1251717.7651041171</v>
      </c>
      <c r="J203" s="81">
        <f t="shared" si="28"/>
        <v>1292584.880781688</v>
      </c>
      <c r="K203" s="81">
        <f t="shared" si="28"/>
        <v>1317102.5706195442</v>
      </c>
      <c r="L203" s="81">
        <f t="shared" si="28"/>
        <v>1342110.6142541573</v>
      </c>
      <c r="M203" s="81">
        <f t="shared" si="28"/>
        <v>1367618.8187614626</v>
      </c>
      <c r="N203" s="81">
        <f t="shared" si="28"/>
        <v>1393637.1873589139</v>
      </c>
      <c r="O203" s="81">
        <f t="shared" si="28"/>
        <v>1420175.9233283147</v>
      </c>
      <c r="P203" s="81">
        <f t="shared" si="28"/>
        <v>1447245.4340171029</v>
      </c>
      <c r="Q203" s="81">
        <f t="shared" si="28"/>
        <v>1474856.3349196676</v>
      </c>
      <c r="R203" s="81">
        <f t="shared" si="28"/>
        <v>1503019.4538402827</v>
      </c>
      <c r="S203" s="81">
        <f t="shared" si="28"/>
        <v>1531745.8351393107</v>
      </c>
      <c r="T203" s="81">
        <f t="shared" si="28"/>
        <v>1561046.7440643194</v>
      </c>
      <c r="U203" s="81">
        <f t="shared" si="28"/>
        <v>1590933.6711678277</v>
      </c>
      <c r="V203" s="81">
        <f t="shared" si="28"/>
        <v>1621418.3368134066</v>
      </c>
    </row>
    <row r="204" spans="1:22" x14ac:dyDescent="0.25">
      <c r="B204" s="36" t="s">
        <v>40</v>
      </c>
      <c r="C204" s="81">
        <f>SUMIF($B148:$B197,$B204,C$148:C$197)</f>
        <v>7092.8571428571431</v>
      </c>
      <c r="D204" s="81">
        <f t="shared" ref="D204:V204" si="29">SUMIF($B148:$B197,$B204,D$148:D$197)</f>
        <v>7092.8571428571431</v>
      </c>
      <c r="E204" s="81">
        <f t="shared" si="29"/>
        <v>9839.2114285714288</v>
      </c>
      <c r="F204" s="81">
        <f t="shared" si="29"/>
        <v>10035.995657142856</v>
      </c>
      <c r="G204" s="81">
        <f t="shared" si="29"/>
        <v>10236.715570285714</v>
      </c>
      <c r="H204" s="81">
        <f t="shared" si="29"/>
        <v>10441.449881691429</v>
      </c>
      <c r="I204" s="81">
        <f t="shared" si="29"/>
        <v>10650.278879325257</v>
      </c>
      <c r="J204" s="81">
        <f t="shared" si="29"/>
        <v>10863.284456911761</v>
      </c>
      <c r="K204" s="81">
        <f t="shared" si="29"/>
        <v>11080.550146049996</v>
      </c>
      <c r="L204" s="81">
        <f t="shared" si="29"/>
        <v>11302.161148970996</v>
      </c>
      <c r="M204" s="81">
        <f t="shared" si="29"/>
        <v>11528.204371950416</v>
      </c>
      <c r="N204" s="81">
        <f t="shared" si="29"/>
        <v>11758.768459389423</v>
      </c>
      <c r="O204" s="81">
        <f t="shared" si="29"/>
        <v>11993.943828577214</v>
      </c>
      <c r="P204" s="81">
        <f t="shared" si="29"/>
        <v>12233.822705148757</v>
      </c>
      <c r="Q204" s="81">
        <f t="shared" si="29"/>
        <v>12478.499159251733</v>
      </c>
      <c r="R204" s="81">
        <f t="shared" si="29"/>
        <v>12728.069142436765</v>
      </c>
      <c r="S204" s="81">
        <f t="shared" si="29"/>
        <v>12982.630525285502</v>
      </c>
      <c r="T204" s="81">
        <f t="shared" si="29"/>
        <v>13242.283135791213</v>
      </c>
      <c r="U204" s="81">
        <f t="shared" si="29"/>
        <v>13507.128798507036</v>
      </c>
      <c r="V204" s="81">
        <f t="shared" si="29"/>
        <v>13777.271374477175</v>
      </c>
    </row>
    <row r="205" spans="1:22" x14ac:dyDescent="0.25">
      <c r="B205" s="36" t="s">
        <v>80</v>
      </c>
      <c r="C205" s="81">
        <f>SUMIF($B148:$B197,$B205,C$148:C$197)</f>
        <v>0</v>
      </c>
      <c r="D205" s="81">
        <f t="shared" ref="D205:V205" si="30">SUMIF($B148:$B197,$B205,D$148:D$197)</f>
        <v>0</v>
      </c>
      <c r="E205" s="81">
        <f t="shared" si="30"/>
        <v>0</v>
      </c>
      <c r="F205" s="81">
        <f t="shared" si="30"/>
        <v>0</v>
      </c>
      <c r="G205" s="81">
        <f t="shared" si="30"/>
        <v>0</v>
      </c>
      <c r="H205" s="81">
        <f t="shared" si="30"/>
        <v>0</v>
      </c>
      <c r="I205" s="81">
        <f t="shared" si="30"/>
        <v>0</v>
      </c>
      <c r="J205" s="81">
        <f t="shared" si="30"/>
        <v>0</v>
      </c>
      <c r="K205" s="81">
        <f t="shared" si="30"/>
        <v>0</v>
      </c>
      <c r="L205" s="81">
        <f t="shared" si="30"/>
        <v>0</v>
      </c>
      <c r="M205" s="81">
        <f t="shared" si="30"/>
        <v>0</v>
      </c>
      <c r="N205" s="81">
        <f t="shared" si="30"/>
        <v>0</v>
      </c>
      <c r="O205" s="81">
        <f t="shared" si="30"/>
        <v>0</v>
      </c>
      <c r="P205" s="81">
        <f t="shared" si="30"/>
        <v>0</v>
      </c>
      <c r="Q205" s="81">
        <f t="shared" si="30"/>
        <v>0</v>
      </c>
      <c r="R205" s="81">
        <f t="shared" si="30"/>
        <v>0</v>
      </c>
      <c r="S205" s="81">
        <f t="shared" si="30"/>
        <v>0</v>
      </c>
      <c r="T205" s="81">
        <f t="shared" si="30"/>
        <v>0</v>
      </c>
      <c r="U205" s="81">
        <f t="shared" si="30"/>
        <v>0</v>
      </c>
      <c r="V205" s="81">
        <f t="shared" si="30"/>
        <v>0</v>
      </c>
    </row>
    <row r="206" spans="1:22" x14ac:dyDescent="0.25">
      <c r="B206" s="36" t="s">
        <v>44</v>
      </c>
      <c r="C206" s="81">
        <f>SUMIF($B148:$B197,$B206,C$148:C$197)</f>
        <v>414.45</v>
      </c>
      <c r="D206" s="81">
        <f t="shared" ref="D206:V206" si="31">SUMIF($B148:$B197,$B206,D$148:D$197)</f>
        <v>366.55799999999999</v>
      </c>
      <c r="E206" s="81">
        <f t="shared" si="31"/>
        <v>316.76873999999998</v>
      </c>
      <c r="F206" s="81">
        <f t="shared" si="31"/>
        <v>265.02548639999998</v>
      </c>
      <c r="G206" s="81">
        <f t="shared" si="31"/>
        <v>249.23000483999999</v>
      </c>
      <c r="H206" s="81">
        <f t="shared" si="31"/>
        <v>203.37168394944001</v>
      </c>
      <c r="I206" s="81">
        <f t="shared" si="31"/>
        <v>155.57933822132165</v>
      </c>
      <c r="J206" s="81">
        <f t="shared" si="31"/>
        <v>105.79394999049872</v>
      </c>
      <c r="K206" s="81">
        <f t="shared" si="31"/>
        <v>53.954914495154377</v>
      </c>
      <c r="L206" s="81">
        <f t="shared" si="31"/>
        <v>0</v>
      </c>
      <c r="M206" s="81">
        <f t="shared" si="31"/>
        <v>0</v>
      </c>
      <c r="N206" s="81">
        <f t="shared" si="31"/>
        <v>0</v>
      </c>
      <c r="O206" s="81">
        <f t="shared" si="31"/>
        <v>0</v>
      </c>
      <c r="P206" s="81">
        <f t="shared" si="31"/>
        <v>0</v>
      </c>
      <c r="Q206" s="81">
        <f t="shared" si="31"/>
        <v>0</v>
      </c>
      <c r="R206" s="81">
        <f t="shared" si="31"/>
        <v>0</v>
      </c>
      <c r="S206" s="81">
        <f t="shared" si="31"/>
        <v>0</v>
      </c>
      <c r="T206" s="81">
        <f t="shared" si="31"/>
        <v>0</v>
      </c>
      <c r="U206" s="81">
        <f t="shared" si="31"/>
        <v>0</v>
      </c>
      <c r="V206" s="81">
        <f t="shared" si="31"/>
        <v>0</v>
      </c>
    </row>
    <row r="207" spans="1:22" x14ac:dyDescent="0.25">
      <c r="B207" s="36" t="s">
        <v>81</v>
      </c>
      <c r="C207" s="81">
        <f>SUMIF($B148:$B197,$B207,C$148:C$197)</f>
        <v>0</v>
      </c>
      <c r="D207" s="81">
        <f t="shared" ref="D207:V207" si="32">SUMIF($B148:$B197,$B207,D$148:D$197)</f>
        <v>0</v>
      </c>
      <c r="E207" s="81">
        <f t="shared" si="32"/>
        <v>0</v>
      </c>
      <c r="F207" s="81">
        <f t="shared" si="32"/>
        <v>0</v>
      </c>
      <c r="G207" s="81">
        <f t="shared" si="32"/>
        <v>0</v>
      </c>
      <c r="H207" s="81">
        <f t="shared" si="32"/>
        <v>0</v>
      </c>
      <c r="I207" s="81">
        <f t="shared" si="32"/>
        <v>0</v>
      </c>
      <c r="J207" s="81">
        <f t="shared" si="32"/>
        <v>0</v>
      </c>
      <c r="K207" s="81">
        <f t="shared" si="32"/>
        <v>0</v>
      </c>
      <c r="L207" s="81">
        <f t="shared" si="32"/>
        <v>0</v>
      </c>
      <c r="M207" s="81">
        <f t="shared" si="32"/>
        <v>0</v>
      </c>
      <c r="N207" s="81">
        <f t="shared" si="32"/>
        <v>0</v>
      </c>
      <c r="O207" s="81">
        <f t="shared" si="32"/>
        <v>0</v>
      </c>
      <c r="P207" s="81">
        <f t="shared" si="32"/>
        <v>0</v>
      </c>
      <c r="Q207" s="81">
        <f t="shared" si="32"/>
        <v>0</v>
      </c>
      <c r="R207" s="81">
        <f t="shared" si="32"/>
        <v>0</v>
      </c>
      <c r="S207" s="81">
        <f t="shared" si="32"/>
        <v>0</v>
      </c>
      <c r="T207" s="81">
        <f t="shared" si="32"/>
        <v>0</v>
      </c>
      <c r="U207" s="81">
        <f t="shared" si="32"/>
        <v>0</v>
      </c>
      <c r="V207" s="81">
        <f t="shared" si="32"/>
        <v>0</v>
      </c>
    </row>
    <row r="208" spans="1:22" x14ac:dyDescent="0.25">
      <c r="B208" s="36" t="s">
        <v>42</v>
      </c>
      <c r="C208" s="81">
        <f>SUMIF($B148:$B197,$B208,C$148:C$197)</f>
        <v>6882</v>
      </c>
      <c r="D208" s="81">
        <f t="shared" ref="D208:V208" si="33">SUMIF($B148:$B197,$B208,D$148:D$197)</f>
        <v>6882</v>
      </c>
      <c r="E208" s="81">
        <f t="shared" si="33"/>
        <v>6882</v>
      </c>
      <c r="F208" s="81">
        <f t="shared" si="33"/>
        <v>6882</v>
      </c>
      <c r="G208" s="81">
        <f t="shared" si="33"/>
        <v>4588</v>
      </c>
      <c r="H208" s="81">
        <f t="shared" si="33"/>
        <v>4588</v>
      </c>
      <c r="I208" s="81">
        <f t="shared" si="33"/>
        <v>4588</v>
      </c>
      <c r="J208" s="81">
        <f t="shared" si="33"/>
        <v>4588</v>
      </c>
      <c r="K208" s="81">
        <f t="shared" si="33"/>
        <v>4588</v>
      </c>
      <c r="L208" s="81">
        <f t="shared" si="33"/>
        <v>4588</v>
      </c>
      <c r="M208" s="81">
        <f t="shared" si="33"/>
        <v>4588</v>
      </c>
      <c r="N208" s="81">
        <f t="shared" si="33"/>
        <v>4588</v>
      </c>
      <c r="O208" s="81">
        <f t="shared" si="33"/>
        <v>4588</v>
      </c>
      <c r="P208" s="81">
        <f t="shared" si="33"/>
        <v>4588</v>
      </c>
      <c r="Q208" s="81">
        <f t="shared" si="33"/>
        <v>4588</v>
      </c>
      <c r="R208" s="81">
        <f t="shared" si="33"/>
        <v>4588</v>
      </c>
      <c r="S208" s="81">
        <f t="shared" si="33"/>
        <v>4588</v>
      </c>
      <c r="T208" s="81">
        <f t="shared" si="33"/>
        <v>4588</v>
      </c>
      <c r="U208" s="81">
        <f t="shared" si="33"/>
        <v>4588</v>
      </c>
      <c r="V208" s="81">
        <f t="shared" si="33"/>
        <v>4588</v>
      </c>
    </row>
    <row r="209" spans="1:22" ht="14.4" thickBot="1" x14ac:dyDescent="0.3">
      <c r="B209" s="42" t="s">
        <v>45</v>
      </c>
      <c r="C209" s="81">
        <f>SUMIF($B148:$B197,$B209,C$148:C$197)</f>
        <v>91096.2</v>
      </c>
      <c r="D209" s="81">
        <f t="shared" ref="D209:V209" si="34">SUMIF($B148:$B197,$B209,D$148:D$197)</f>
        <v>81244.314666666673</v>
      </c>
      <c r="E209" s="81">
        <f t="shared" si="34"/>
        <v>70988.906906666671</v>
      </c>
      <c r="F209" s="81">
        <f t="shared" si="34"/>
        <v>60317.776577066674</v>
      </c>
      <c r="G209" s="81">
        <f t="shared" si="34"/>
        <v>49218.39693818667</v>
      </c>
      <c r="H209" s="81">
        <f t="shared" si="34"/>
        <v>41189.523382553176</v>
      </c>
      <c r="I209" s="81">
        <f t="shared" si="34"/>
        <v>29939.736408231212</v>
      </c>
      <c r="J209" s="81">
        <f t="shared" si="34"/>
        <v>18236.977878916696</v>
      </c>
      <c r="K209" s="81">
        <f t="shared" si="34"/>
        <v>6067.6288471996377</v>
      </c>
      <c r="L209" s="81">
        <f t="shared" si="34"/>
        <v>-6582.2932036043348</v>
      </c>
      <c r="M209" s="81">
        <f t="shared" si="34"/>
        <v>-7388.7257343430902</v>
      </c>
      <c r="N209" s="81">
        <f t="shared" si="34"/>
        <v>-8211.2869156966117</v>
      </c>
      <c r="O209" s="81">
        <f t="shared" si="34"/>
        <v>-9050.2993206772153</v>
      </c>
      <c r="P209" s="81">
        <f t="shared" si="34"/>
        <v>-9906.0919737574295</v>
      </c>
      <c r="Q209" s="81">
        <f t="shared" si="34"/>
        <v>-10779.000479899245</v>
      </c>
      <c r="R209" s="81">
        <f t="shared" si="34"/>
        <v>-11669.367156163884</v>
      </c>
      <c r="S209" s="81">
        <f t="shared" si="34"/>
        <v>-12577.541165953837</v>
      </c>
      <c r="T209" s="81">
        <f t="shared" si="34"/>
        <v>-13503.878655939581</v>
      </c>
      <c r="U209" s="81">
        <f t="shared" si="34"/>
        <v>-14448.742895725038</v>
      </c>
      <c r="V209" s="81">
        <f t="shared" si="34"/>
        <v>-15412.504420306206</v>
      </c>
    </row>
    <row r="210" spans="1:22" x14ac:dyDescent="0.25">
      <c r="C210" s="26"/>
      <c r="D210" s="26"/>
      <c r="E210" s="26"/>
      <c r="F210" s="26"/>
      <c r="G210" s="26"/>
      <c r="H210" s="26"/>
      <c r="I210" s="26"/>
      <c r="J210" s="26"/>
      <c r="K210" s="26"/>
      <c r="L210" s="27"/>
      <c r="M210" s="26"/>
      <c r="N210" s="26"/>
      <c r="O210" s="26"/>
      <c r="P210" s="26"/>
      <c r="Q210" s="26"/>
      <c r="R210" s="26"/>
      <c r="S210" s="26"/>
      <c r="T210" s="26"/>
      <c r="U210" s="26"/>
      <c r="V210" s="26"/>
    </row>
    <row r="211" spans="1:22" x14ac:dyDescent="0.25">
      <c r="C211" s="26">
        <f>SUM(C202:C209)</f>
        <v>1608507.5626984125</v>
      </c>
      <c r="D211" s="26">
        <f t="shared" ref="D211:U211" si="35">SUM(D202:D209)</f>
        <v>1474838.3320317459</v>
      </c>
      <c r="E211" s="26">
        <f t="shared" si="35"/>
        <v>1477292.3623641271</v>
      </c>
      <c r="F211" s="26">
        <f t="shared" si="35"/>
        <v>1414554.3126277206</v>
      </c>
      <c r="G211" s="26">
        <f t="shared" si="35"/>
        <v>1390829.2003844324</v>
      </c>
      <c r="H211" s="26">
        <f t="shared" si="35"/>
        <v>1345702.3908292537</v>
      </c>
      <c r="I211" s="26">
        <f t="shared" si="35"/>
        <v>1303763.9157606934</v>
      </c>
      <c r="J211" s="26">
        <f t="shared" si="35"/>
        <v>1258055.4938119806</v>
      </c>
      <c r="K211" s="26">
        <f t="shared" si="35"/>
        <v>1192712.9433915725</v>
      </c>
      <c r="L211" s="27">
        <f t="shared" si="35"/>
        <v>1124479.2862457116</v>
      </c>
      <c r="M211" s="26">
        <f t="shared" si="35"/>
        <v>1300872.7174753367</v>
      </c>
      <c r="N211" s="26">
        <f t="shared" si="35"/>
        <v>1317896.877380399</v>
      </c>
      <c r="O211" s="26">
        <f t="shared" si="35"/>
        <v>1335261.5204835627</v>
      </c>
      <c r="P211" s="26">
        <f t="shared" si="35"/>
        <v>1352973.4564487892</v>
      </c>
      <c r="Q211" s="26">
        <f t="shared" si="35"/>
        <v>1371039.631133321</v>
      </c>
      <c r="R211" s="26">
        <f t="shared" si="35"/>
        <v>1389467.129311543</v>
      </c>
      <c r="S211" s="26">
        <f t="shared" si="35"/>
        <v>1408263.1774533293</v>
      </c>
      <c r="T211" s="26">
        <f t="shared" si="35"/>
        <v>1427435.1465579516</v>
      </c>
      <c r="U211" s="26">
        <f t="shared" si="35"/>
        <v>1446990.5550446657</v>
      </c>
      <c r="V211" s="26">
        <f>SUM(V202:V209)</f>
        <v>1466937.0717011145</v>
      </c>
    </row>
    <row r="212" spans="1:22" x14ac:dyDescent="0.25">
      <c r="C212" s="26"/>
      <c r="D212" s="26"/>
      <c r="E212" s="26"/>
      <c r="F212" s="26"/>
      <c r="G212" s="26"/>
      <c r="H212" s="26"/>
      <c r="I212" s="26"/>
      <c r="J212" s="26"/>
      <c r="K212" s="26"/>
      <c r="L212" s="27"/>
      <c r="M212" s="2"/>
      <c r="N212" s="26"/>
      <c r="O212" s="26"/>
      <c r="P212" s="26"/>
      <c r="Q212" s="26"/>
      <c r="R212" s="26"/>
      <c r="S212" s="26"/>
      <c r="T212" s="26"/>
      <c r="U212" s="26"/>
      <c r="V212" s="26"/>
    </row>
    <row r="213" spans="1:22" ht="14.4" thickBot="1" x14ac:dyDescent="0.3">
      <c r="B213" s="2" t="s">
        <v>76</v>
      </c>
      <c r="C213" s="26"/>
      <c r="D213" s="26"/>
      <c r="E213" s="26"/>
      <c r="F213" s="26"/>
      <c r="G213" s="26"/>
      <c r="H213" s="26"/>
      <c r="I213" s="26"/>
      <c r="J213" s="26"/>
      <c r="K213" s="26"/>
      <c r="L213" s="27"/>
      <c r="M213" s="2"/>
      <c r="N213" s="26"/>
      <c r="O213" s="26"/>
      <c r="P213" s="26"/>
      <c r="Q213" s="26"/>
      <c r="R213" s="26"/>
      <c r="S213" s="26"/>
      <c r="T213" s="26"/>
      <c r="U213" s="26"/>
      <c r="V213" s="26"/>
    </row>
    <row r="214" spans="1:22" x14ac:dyDescent="0.25">
      <c r="B214" s="57" t="s">
        <v>82</v>
      </c>
      <c r="C214" s="78">
        <v>2021</v>
      </c>
      <c r="D214" s="78">
        <v>2022</v>
      </c>
      <c r="E214" s="78">
        <v>2023</v>
      </c>
      <c r="F214" s="78">
        <v>2024</v>
      </c>
      <c r="G214" s="78">
        <v>2025</v>
      </c>
      <c r="H214" s="78">
        <v>2026</v>
      </c>
      <c r="I214" s="78">
        <v>2027</v>
      </c>
      <c r="J214" s="78">
        <v>2028</v>
      </c>
      <c r="K214" s="78">
        <v>2029</v>
      </c>
      <c r="L214" s="78">
        <v>2030</v>
      </c>
      <c r="M214" s="78">
        <v>2031</v>
      </c>
      <c r="N214" s="78">
        <v>2032</v>
      </c>
      <c r="O214" s="78">
        <v>2033</v>
      </c>
      <c r="P214" s="78">
        <v>2034</v>
      </c>
      <c r="Q214" s="78">
        <v>2035</v>
      </c>
      <c r="R214" s="78">
        <v>2036</v>
      </c>
      <c r="S214" s="78">
        <v>2037</v>
      </c>
      <c r="T214" s="78">
        <v>2038</v>
      </c>
      <c r="U214" s="78">
        <v>2039</v>
      </c>
      <c r="V214" s="78">
        <v>2040</v>
      </c>
    </row>
    <row r="215" spans="1:22" x14ac:dyDescent="0.25">
      <c r="B215" s="36" t="s">
        <v>95</v>
      </c>
      <c r="C215" s="28">
        <f>SUM(C148:C189)</f>
        <v>1676114.912698413</v>
      </c>
      <c r="D215" s="28">
        <f t="shared" ref="D215:V215" si="36">SUM(D148:D189)</f>
        <v>1442274.4126984125</v>
      </c>
      <c r="E215" s="28">
        <f t="shared" si="36"/>
        <v>1435181.5555555555</v>
      </c>
      <c r="F215" s="28">
        <f t="shared" si="36"/>
        <v>1301780.7777777778</v>
      </c>
      <c r="G215" s="28">
        <f t="shared" si="36"/>
        <v>1131886.1666666667</v>
      </c>
      <c r="H215" s="28">
        <f t="shared" si="36"/>
        <v>898045.66666666674</v>
      </c>
      <c r="I215" s="28">
        <f t="shared" si="36"/>
        <v>697944.49999999988</v>
      </c>
      <c r="J215" s="28">
        <f t="shared" si="36"/>
        <v>564543.72222222225</v>
      </c>
      <c r="K215" s="28">
        <f t="shared" si="36"/>
        <v>564543.72222222225</v>
      </c>
      <c r="L215" s="28">
        <f t="shared" si="36"/>
        <v>564543.72222222225</v>
      </c>
      <c r="M215" s="28">
        <f t="shared" si="36"/>
        <v>449664.72222222225</v>
      </c>
      <c r="N215" s="28">
        <f t="shared" si="36"/>
        <v>449664.72222222225</v>
      </c>
      <c r="O215" s="28">
        <f t="shared" si="36"/>
        <v>449664.72222222225</v>
      </c>
      <c r="P215" s="28">
        <f t="shared" si="36"/>
        <v>449664.72222222225</v>
      </c>
      <c r="Q215" s="28">
        <f t="shared" si="36"/>
        <v>449664.72222222225</v>
      </c>
      <c r="R215" s="28">
        <f t="shared" si="36"/>
        <v>449664.72222222225</v>
      </c>
      <c r="S215" s="28">
        <f t="shared" si="36"/>
        <v>449664.72222222225</v>
      </c>
      <c r="T215" s="28">
        <f t="shared" si="36"/>
        <v>449664.72222222225</v>
      </c>
      <c r="U215" s="28">
        <f t="shared" si="36"/>
        <v>449664.72222222225</v>
      </c>
      <c r="V215" s="28">
        <f t="shared" si="36"/>
        <v>449664.72222222225</v>
      </c>
    </row>
    <row r="216" spans="1:22" x14ac:dyDescent="0.25">
      <c r="B216" s="36" t="s">
        <v>96</v>
      </c>
      <c r="C216" s="28">
        <f>SUM(C190:C197)</f>
        <v>-67607.350000000006</v>
      </c>
      <c r="D216" s="28">
        <f t="shared" ref="D216:V216" si="37">SUM(D190:D197)</f>
        <v>32563.919333333339</v>
      </c>
      <c r="E216" s="28">
        <f t="shared" si="37"/>
        <v>42110.806808571433</v>
      </c>
      <c r="F216" s="28">
        <f t="shared" si="37"/>
        <v>112773.53484994287</v>
      </c>
      <c r="G216" s="28">
        <f t="shared" si="37"/>
        <v>258943.03371776579</v>
      </c>
      <c r="H216" s="28">
        <f t="shared" si="37"/>
        <v>447656.72416258708</v>
      </c>
      <c r="I216" s="28">
        <f t="shared" si="37"/>
        <v>605819.41576069302</v>
      </c>
      <c r="J216" s="28">
        <f t="shared" si="37"/>
        <v>693511.77158975822</v>
      </c>
      <c r="K216" s="28">
        <f t="shared" si="37"/>
        <v>628169.22116935009</v>
      </c>
      <c r="L216" s="28">
        <f t="shared" si="37"/>
        <v>559935.56402348937</v>
      </c>
      <c r="M216" s="28">
        <f t="shared" si="37"/>
        <v>851207.9952531145</v>
      </c>
      <c r="N216" s="28">
        <f t="shared" si="37"/>
        <v>868232.15515817679</v>
      </c>
      <c r="O216" s="28">
        <f t="shared" si="37"/>
        <v>885596.79826134047</v>
      </c>
      <c r="P216" s="28">
        <f t="shared" si="37"/>
        <v>903308.73422656697</v>
      </c>
      <c r="Q216" s="28">
        <f t="shared" si="37"/>
        <v>921374.90891109861</v>
      </c>
      <c r="R216" s="28">
        <f t="shared" si="37"/>
        <v>939802.40708932048</v>
      </c>
      <c r="S216" s="28">
        <f t="shared" si="37"/>
        <v>958598.45523110672</v>
      </c>
      <c r="T216" s="28">
        <f t="shared" si="37"/>
        <v>977770.4243357291</v>
      </c>
      <c r="U216" s="28">
        <f t="shared" si="37"/>
        <v>997325.83282244345</v>
      </c>
      <c r="V216" s="28">
        <f t="shared" si="37"/>
        <v>1017272.3494788923</v>
      </c>
    </row>
    <row r="217" spans="1:22" x14ac:dyDescent="0.25">
      <c r="C217" s="2"/>
      <c r="D217" s="2"/>
      <c r="E217" s="2"/>
      <c r="F217" s="2"/>
      <c r="G217" s="2"/>
      <c r="H217" s="2"/>
      <c r="I217" s="2"/>
      <c r="J217" s="2"/>
      <c r="K217" s="2"/>
      <c r="L217" s="2"/>
      <c r="M217" s="2"/>
      <c r="N217" s="2"/>
      <c r="O217" s="2"/>
      <c r="P217" s="2"/>
      <c r="Q217" s="2"/>
      <c r="R217" s="2"/>
      <c r="S217" s="2"/>
      <c r="T217" s="2"/>
      <c r="U217" s="2"/>
      <c r="V217" s="2"/>
    </row>
    <row r="218" spans="1:22" x14ac:dyDescent="0.25">
      <c r="C218" s="25">
        <f>SUM(C215:C216)</f>
        <v>1608507.5626984129</v>
      </c>
      <c r="D218" s="25">
        <f t="shared" ref="D218:V218" si="38">SUM(D215:D216)</f>
        <v>1474838.3320317459</v>
      </c>
      <c r="E218" s="25">
        <f t="shared" si="38"/>
        <v>1477292.3623641268</v>
      </c>
      <c r="F218" s="25">
        <f t="shared" si="38"/>
        <v>1414554.3126277206</v>
      </c>
      <c r="G218" s="25">
        <f t="shared" si="38"/>
        <v>1390829.2003844324</v>
      </c>
      <c r="H218" s="25">
        <f t="shared" si="38"/>
        <v>1345702.3908292539</v>
      </c>
      <c r="I218" s="25">
        <f t="shared" si="38"/>
        <v>1303763.9157606929</v>
      </c>
      <c r="J218" s="25">
        <f t="shared" si="38"/>
        <v>1258055.4938119804</v>
      </c>
      <c r="K218" s="25">
        <f t="shared" si="38"/>
        <v>1192712.9433915722</v>
      </c>
      <c r="L218" s="25">
        <f t="shared" si="38"/>
        <v>1124479.2862457116</v>
      </c>
      <c r="M218" s="25">
        <f t="shared" si="38"/>
        <v>1300872.7174753367</v>
      </c>
      <c r="N218" s="25">
        <f t="shared" si="38"/>
        <v>1317896.877380399</v>
      </c>
      <c r="O218" s="25">
        <f t="shared" si="38"/>
        <v>1335261.5204835627</v>
      </c>
      <c r="P218" s="25">
        <f t="shared" si="38"/>
        <v>1352973.4564487892</v>
      </c>
      <c r="Q218" s="25">
        <f t="shared" si="38"/>
        <v>1371039.6311333207</v>
      </c>
      <c r="R218" s="25">
        <f t="shared" si="38"/>
        <v>1389467.1293115427</v>
      </c>
      <c r="S218" s="25">
        <f t="shared" si="38"/>
        <v>1408263.1774533289</v>
      </c>
      <c r="T218" s="25">
        <f t="shared" si="38"/>
        <v>1427435.1465579513</v>
      </c>
      <c r="U218" s="25">
        <f t="shared" si="38"/>
        <v>1446990.5550446657</v>
      </c>
      <c r="V218" s="25">
        <f t="shared" si="38"/>
        <v>1466937.0717011145</v>
      </c>
    </row>
    <row r="220" spans="1:22" ht="14.4" x14ac:dyDescent="0.3">
      <c r="A220" s="99" t="s">
        <v>139</v>
      </c>
    </row>
  </sheetData>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BFA940-A8DC-4741-BD33-9BB4DD47FF64}">
  <sheetPr codeName="Sheet23">
    <tabColor rgb="FF00B050"/>
  </sheetPr>
  <dimension ref="A1:Y15"/>
  <sheetViews>
    <sheetView zoomScaleNormal="100" workbookViewId="0">
      <selection activeCell="D24" sqref="D24"/>
    </sheetView>
  </sheetViews>
  <sheetFormatPr defaultRowHeight="13.8" x14ac:dyDescent="0.25"/>
  <cols>
    <col min="1" max="1" width="51.77734375" style="2" customWidth="1"/>
    <col min="2" max="2" width="13.109375" style="2" bestFit="1" customWidth="1"/>
    <col min="3" max="3" width="12.44140625" style="2" bestFit="1" customWidth="1"/>
    <col min="4" max="5" width="11.33203125" style="2" bestFit="1" customWidth="1"/>
    <col min="6" max="21" width="9.44140625" style="2" customWidth="1"/>
    <col min="22" max="16384" width="8.88671875" style="2"/>
  </cols>
  <sheetData>
    <row r="1" spans="1:25" s="11" customFormat="1" ht="27.6" x14ac:dyDescent="0.25">
      <c r="A1" s="30" t="s">
        <v>82</v>
      </c>
      <c r="B1" s="30" t="s">
        <v>129</v>
      </c>
      <c r="C1" s="83" t="s">
        <v>130</v>
      </c>
      <c r="D1" s="78"/>
      <c r="E1" s="79"/>
      <c r="F1" s="78"/>
      <c r="G1" s="79"/>
      <c r="H1" s="78"/>
      <c r="I1" s="79"/>
      <c r="J1" s="78"/>
      <c r="K1" s="79"/>
      <c r="L1" s="78"/>
      <c r="M1" s="79"/>
      <c r="N1" s="78"/>
      <c r="O1" s="79"/>
      <c r="P1" s="78"/>
      <c r="Q1" s="79"/>
      <c r="R1" s="78"/>
      <c r="S1" s="79"/>
      <c r="T1" s="78"/>
      <c r="U1" s="79"/>
      <c r="V1" s="78"/>
      <c r="W1" s="79"/>
      <c r="X1" s="80"/>
      <c r="Y1" s="46"/>
    </row>
    <row r="2" spans="1:25" x14ac:dyDescent="0.25">
      <c r="A2" s="33" t="s">
        <v>43</v>
      </c>
      <c r="B2" s="127">
        <f>IFERROR((SUMIF(Current_DTE!$B$2:$B$48,Minutes_by_use_case!A2,Current_DTE!$X$2:$X$48)/COUNTIFS(Current_DTE!$B$2:$B$48,Minutes_by_use_case!A2,Current_DTE!$X$2:$X$48,"*"))*60,"-")</f>
        <v>171572.29579277776</v>
      </c>
      <c r="C2" s="28">
        <f>IFERROR((SUMIF(Current_SR!$B$2:$B$49,Minutes_by_use_case!A2,Current_SR!$O$2:$O$49)/COUNTIFS(Current_SR!$B$2:$B$43,Minutes_by_use_case!A2)),"-")</f>
        <v>114879</v>
      </c>
    </row>
    <row r="3" spans="1:25" x14ac:dyDescent="0.25">
      <c r="A3" s="33" t="s">
        <v>41</v>
      </c>
      <c r="B3" s="127">
        <f>IFERROR((SUMIF(Current_DTE!$B$2:$B$48,Minutes_by_use_case!A3,Current_DTE!$X$2:$X$48)/COUNTIFS(Current_DTE!$B$2:$B$48,Minutes_by_use_case!A3,Current_DTE!$X$2:$X$48,"*"))*60,"-")</f>
        <v>133409.35004928565</v>
      </c>
      <c r="C3" s="28">
        <f>IFERROR((SUMIF(Current_SR!$B$2:$B$49,Minutes_by_use_case!A3,Current_SR!$O$2:$O$49)/COUNTIFS(Current_SR!$B$2:$B$43,Minutes_by_use_case!A3)),"-")</f>
        <v>66700.388888888891</v>
      </c>
      <c r="E3" s="84"/>
    </row>
    <row r="4" spans="1:25" x14ac:dyDescent="0.25">
      <c r="A4" s="33" t="s">
        <v>40</v>
      </c>
      <c r="B4" s="127">
        <f>IFERROR((SUMIF(Current_DTE!$B$2:$B$48,Minutes_by_use_case!A4,Current_DTE!$X$2:$X$48)/COUNTIFS(Current_DTE!$B$2:$B$48,Minutes_by_use_case!A4,Current_DTE!$X$2:$X$48,"*"))*60,"-")</f>
        <v>2140.4341038095235</v>
      </c>
      <c r="C4" s="28">
        <f>IFERROR((SUMIF(Current_SR!$B$2:$B$49,Minutes_by_use_case!A4,Current_SR!$O$2:$O$49)/COUNTIFS(Current_SR!$B$2:$B$43,Minutes_by_use_case!A4)),"-")</f>
        <v>2364.2857142857142</v>
      </c>
    </row>
    <row r="5" spans="1:25" x14ac:dyDescent="0.25">
      <c r="A5" s="33" t="s">
        <v>80</v>
      </c>
      <c r="B5" s="127" t="str">
        <f>IFERROR((SUMIF(Current_DTE!$B$2:$B$48,Minutes_by_use_case!A5,Current_DTE!$X$2:$X$48)/COUNTIFS(Current_DTE!$B$2:$B$48,Minutes_by_use_case!A5,Current_DTE!$X$2:$X$48,"*"))*60,"-")</f>
        <v>-</v>
      </c>
      <c r="C5" s="28" t="str">
        <f>IFERROR((SUMIF(Current_SR!$B$2:$B$49,Minutes_by_use_case!A5,Current_SR!$O$2:$O$49)/COUNTIFS(Current_SR!$B$2:$B$43,Minutes_by_use_case!A5)),"-")</f>
        <v>-</v>
      </c>
    </row>
    <row r="6" spans="1:25" x14ac:dyDescent="0.25">
      <c r="A6" s="33" t="s">
        <v>44</v>
      </c>
      <c r="B6" s="127">
        <f>IFERROR((SUMIF(Current_DTE!$B$2:$B$48,Minutes_by_use_case!A6,Current_DTE!$X$2:$X$48)/COUNTIFS(Current_DTE!$B$2:$B$48,Minutes_by_use_case!A6,Current_DTE!$X$2:$X$48,"*"))*60,"-")</f>
        <v>0</v>
      </c>
      <c r="C6" s="28">
        <f>IFERROR((SUMIF(Current_SR!$B$2:$B$49,Minutes_by_use_case!A6,Current_SR!$O$2:$O$49)/COUNTIFS(Current_SR!$B$2:$B$43,Minutes_by_use_case!A6)),"-")</f>
        <v>460.5</v>
      </c>
    </row>
    <row r="7" spans="1:25" x14ac:dyDescent="0.25">
      <c r="A7" s="33" t="s">
        <v>81</v>
      </c>
      <c r="B7" s="127" t="str">
        <f>IFERROR((SUMIF(Current_DTE!$B$2:$B$48,Minutes_by_use_case!A7,Current_DTE!$X$2:$X$48)/COUNTIFS(Current_DTE!$B$2:$B$48,Minutes_by_use_case!A7,Current_DTE!$X$2:$X$48,"*"))*60,"-")</f>
        <v>-</v>
      </c>
      <c r="C7" s="28" t="str">
        <f>IFERROR((SUMIF(Current_SR!$B$2:$B$49,Minutes_by_use_case!A7,Current_SR!$O$2:$O$49)/COUNTIFS(Current_SR!$B$2:$B$43,Minutes_by_use_case!A7)),"-")</f>
        <v>-</v>
      </c>
    </row>
    <row r="8" spans="1:25" x14ac:dyDescent="0.25">
      <c r="A8" s="33" t="s">
        <v>42</v>
      </c>
      <c r="B8" s="127">
        <f>IFERROR((SUMIF(Current_DTE!$B$2:$B$48,Minutes_by_use_case!A8,Current_DTE!$X$2:$X$48)/COUNTIFS(Current_DTE!$B$2:$B$48,Minutes_by_use_case!A8,Current_DTE!$X$2:$X$48,"*"))*60,"-")</f>
        <v>721.11352444444435</v>
      </c>
      <c r="C8" s="28">
        <f>IFERROR((SUMIF(Current_SR!$B$2:$B$49,Minutes_by_use_case!A8,Current_SR!$O$2:$O$49)/COUNTIFS(Current_SR!$B$2:$B$43,Minutes_by_use_case!A8)),"-")</f>
        <v>2294</v>
      </c>
    </row>
    <row r="9" spans="1:25" x14ac:dyDescent="0.25">
      <c r="A9" s="33" t="s">
        <v>45</v>
      </c>
      <c r="B9" s="127">
        <f>IFERROR((SUMIF(Current_DTE!$B$2:$B$48,Minutes_by_use_case!A9,Current_DTE!$X$2:$X$48)/COUNTIFS(Current_DTE!$B$2:$B$48,Minutes_by_use_case!A9,Current_DTE!$X$2:$X$48,"*"))*60,"-")</f>
        <v>89453.837836666688</v>
      </c>
      <c r="C9" s="28">
        <f>IFERROR((SUMIF(Current_SR!$B$2:$B$49,Minutes_by_use_case!A9,Current_SR!$O$2:$O$49)/COUNTIFS(Current_SR!$B$2:$B$43,Minutes_by_use_case!A9)),"-")</f>
        <v>33739.333333333336</v>
      </c>
    </row>
    <row r="10" spans="1:25" x14ac:dyDescent="0.25">
      <c r="A10" s="85"/>
      <c r="B10" s="85"/>
      <c r="C10" s="85"/>
    </row>
    <row r="11" spans="1:25" x14ac:dyDescent="0.25">
      <c r="A11" s="82" t="s">
        <v>84</v>
      </c>
      <c r="B11" s="127">
        <f>SUM(B2:B9)</f>
        <v>397297.03130698408</v>
      </c>
      <c r="C11" s="127">
        <f>SUM(C2:C9)</f>
        <v>220437.50793650793</v>
      </c>
    </row>
    <row r="13" spans="1:25" ht="14.4" x14ac:dyDescent="0.3">
      <c r="A13" s="99" t="s">
        <v>136</v>
      </c>
    </row>
    <row r="14" spans="1:25" ht="14.4" x14ac:dyDescent="0.3">
      <c r="A14" s="99" t="s">
        <v>121</v>
      </c>
    </row>
    <row r="15" spans="1:25" ht="14.4" x14ac:dyDescent="0.3">
      <c r="A15" s="99" t="s">
        <v>137</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0463BD-AC38-4CFB-B42E-18B750A3C08A}">
  <sheetPr codeName="Sheet12">
    <tabColor rgb="FFFFC000"/>
  </sheetPr>
  <dimension ref="A1:AO165"/>
  <sheetViews>
    <sheetView tabSelected="1" zoomScale="55" zoomScaleNormal="55" workbookViewId="0">
      <selection activeCell="N18" sqref="N18"/>
    </sheetView>
  </sheetViews>
  <sheetFormatPr defaultRowHeight="13.8" x14ac:dyDescent="0.25"/>
  <cols>
    <col min="1" max="1" width="33.88671875" style="107" customWidth="1"/>
    <col min="2" max="2" width="15.5546875" style="2" bestFit="1" customWidth="1"/>
    <col min="3" max="3" width="11.33203125" style="2" bestFit="1" customWidth="1"/>
    <col min="4" max="4" width="16.44140625" style="2" bestFit="1" customWidth="1"/>
    <col min="5" max="5" width="13.21875" style="2" bestFit="1" customWidth="1"/>
    <col min="6" max="6" width="9.5546875" style="2" customWidth="1"/>
    <col min="7" max="7" width="15" style="2" customWidth="1"/>
    <col min="8" max="8" width="21.88671875" style="2" bestFit="1" customWidth="1"/>
    <col min="9" max="9" width="13.44140625" style="2" bestFit="1" customWidth="1"/>
    <col min="10" max="10" width="7.21875" style="2" bestFit="1" customWidth="1"/>
    <col min="11" max="11" width="22.109375" style="2" bestFit="1" customWidth="1"/>
    <col min="12" max="13" width="22.33203125" style="2" bestFit="1" customWidth="1"/>
    <col min="14" max="14" width="26.109375" style="2" bestFit="1" customWidth="1"/>
    <col min="15" max="15" width="26.77734375" style="2" bestFit="1" customWidth="1"/>
    <col min="16" max="16" width="30.21875" style="2" bestFit="1" customWidth="1"/>
    <col min="17" max="17" width="23.109375" style="22" bestFit="1" customWidth="1"/>
    <col min="18" max="18" width="20.88671875" style="2" bestFit="1" customWidth="1"/>
    <col min="19" max="19" width="21.21875" style="2" bestFit="1" customWidth="1"/>
    <col min="20" max="25" width="7.44140625" style="2" bestFit="1" customWidth="1"/>
    <col min="26" max="30" width="7.44140625" style="106" bestFit="1" customWidth="1"/>
    <col min="31" max="39" width="7.44140625" style="2" bestFit="1" customWidth="1"/>
    <col min="40" max="40" width="8.88671875" style="2"/>
    <col min="41" max="41" width="11.109375" style="2" bestFit="1" customWidth="1"/>
    <col min="42" max="16384" width="8.88671875" style="2"/>
  </cols>
  <sheetData>
    <row r="1" spans="1:18" ht="15" customHeight="1" thickBot="1" x14ac:dyDescent="0.35">
      <c r="A1" s="518" t="s">
        <v>383</v>
      </c>
      <c r="B1" s="518"/>
      <c r="C1" s="518"/>
      <c r="D1" s="518"/>
      <c r="E1" s="518"/>
      <c r="G1" s="519" t="s">
        <v>384</v>
      </c>
      <c r="H1" s="519"/>
      <c r="I1" s="519"/>
      <c r="J1" s="519"/>
      <c r="K1" s="519"/>
      <c r="L1" s="519"/>
      <c r="M1" s="519"/>
      <c r="N1" s="519"/>
      <c r="O1" s="519"/>
      <c r="P1" s="519"/>
      <c r="Q1" s="519"/>
      <c r="R1" s="519"/>
    </row>
    <row r="2" spans="1:18" x14ac:dyDescent="0.25">
      <c r="A2" s="288" t="s">
        <v>385</v>
      </c>
      <c r="B2" s="279" t="s">
        <v>386</v>
      </c>
      <c r="C2" s="279" t="s">
        <v>387</v>
      </c>
      <c r="D2" s="279" t="s">
        <v>8</v>
      </c>
      <c r="E2" s="280" t="s">
        <v>388</v>
      </c>
      <c r="G2" s="314" t="s">
        <v>372</v>
      </c>
      <c r="H2" s="315" t="s">
        <v>389</v>
      </c>
      <c r="I2" s="315" t="s">
        <v>390</v>
      </c>
      <c r="J2" s="315" t="s">
        <v>345</v>
      </c>
      <c r="K2" s="315" t="s">
        <v>391</v>
      </c>
      <c r="L2" s="315" t="s">
        <v>392</v>
      </c>
      <c r="M2" s="315" t="s">
        <v>393</v>
      </c>
      <c r="N2" s="364" t="s">
        <v>394</v>
      </c>
      <c r="O2" s="364" t="s">
        <v>395</v>
      </c>
      <c r="P2" s="315" t="s">
        <v>396</v>
      </c>
      <c r="Q2" s="414" t="s">
        <v>397</v>
      </c>
      <c r="R2" s="316" t="s">
        <v>381</v>
      </c>
    </row>
    <row r="3" spans="1:18" x14ac:dyDescent="0.25">
      <c r="A3" s="282" t="s">
        <v>398</v>
      </c>
      <c r="B3" s="91">
        <v>0.3</v>
      </c>
      <c r="C3" s="91">
        <v>200</v>
      </c>
      <c r="D3" s="91" t="s">
        <v>399</v>
      </c>
      <c r="E3" s="222" t="s">
        <v>150</v>
      </c>
      <c r="G3" s="415">
        <v>0</v>
      </c>
      <c r="H3" s="24">
        <v>0</v>
      </c>
      <c r="I3" s="24">
        <v>0</v>
      </c>
      <c r="J3" s="24" t="s">
        <v>400</v>
      </c>
      <c r="K3" s="24">
        <v>0</v>
      </c>
      <c r="L3" s="24">
        <v>0</v>
      </c>
      <c r="M3" s="24">
        <v>0</v>
      </c>
      <c r="N3" s="24">
        <v>0</v>
      </c>
      <c r="O3" s="24">
        <v>0</v>
      </c>
      <c r="P3" s="24">
        <v>0</v>
      </c>
      <c r="Q3" s="24">
        <v>0</v>
      </c>
      <c r="R3" s="416">
        <v>0</v>
      </c>
    </row>
    <row r="4" spans="1:18" x14ac:dyDescent="0.25">
      <c r="A4" s="282" t="s">
        <v>401</v>
      </c>
      <c r="B4" s="91">
        <v>0.27</v>
      </c>
      <c r="C4" s="91">
        <v>100</v>
      </c>
      <c r="D4" s="91" t="s">
        <v>399</v>
      </c>
      <c r="E4" s="222" t="s">
        <v>150</v>
      </c>
      <c r="G4" s="319">
        <v>525600</v>
      </c>
      <c r="H4" s="290">
        <v>50</v>
      </c>
      <c r="I4" s="24">
        <v>1</v>
      </c>
      <c r="J4" s="24" t="s">
        <v>400</v>
      </c>
      <c r="K4" s="291">
        <f>(H4-H3)*4</f>
        <v>200</v>
      </c>
      <c r="L4" s="24">
        <f>K4</f>
        <v>200</v>
      </c>
      <c r="M4" s="23">
        <v>10</v>
      </c>
      <c r="N4" s="23">
        <f>M4*10</f>
        <v>100</v>
      </c>
      <c r="O4" s="23">
        <v>50</v>
      </c>
      <c r="P4" s="23">
        <f>(H4/100)+2</f>
        <v>2.5</v>
      </c>
      <c r="Q4" s="290">
        <f t="shared" ref="Q4:Q23" si="0">$B$9</f>
        <v>10</v>
      </c>
      <c r="R4" s="318">
        <v>200</v>
      </c>
    </row>
    <row r="5" spans="1:18" x14ac:dyDescent="0.25">
      <c r="A5" s="282" t="s">
        <v>380</v>
      </c>
      <c r="B5" s="91">
        <v>0.5</v>
      </c>
      <c r="C5" s="91">
        <v>10</v>
      </c>
      <c r="D5" s="91" t="s">
        <v>399</v>
      </c>
      <c r="E5" s="222" t="s">
        <v>150</v>
      </c>
      <c r="G5" s="417">
        <f>$G$4+G4</f>
        <v>1051200</v>
      </c>
      <c r="H5" s="290">
        <v>100</v>
      </c>
      <c r="I5" s="24">
        <v>2</v>
      </c>
      <c r="J5" s="24" t="s">
        <v>400</v>
      </c>
      <c r="K5" s="291">
        <f>(H5-H4)*4</f>
        <v>200</v>
      </c>
      <c r="L5" s="24">
        <f t="shared" ref="L5:L23" si="1">K5</f>
        <v>200</v>
      </c>
      <c r="M5" s="292">
        <v>0.2</v>
      </c>
      <c r="N5" s="23">
        <f>M5*10</f>
        <v>2</v>
      </c>
      <c r="O5" s="23">
        <v>0</v>
      </c>
      <c r="P5" s="24">
        <v>0.25</v>
      </c>
      <c r="Q5" s="290">
        <f t="shared" si="0"/>
        <v>10</v>
      </c>
      <c r="R5" s="318">
        <f>(H5-H4)*$D$50</f>
        <v>24.291849860976843</v>
      </c>
    </row>
    <row r="6" spans="1:18" x14ac:dyDescent="0.25">
      <c r="A6" s="282" t="s">
        <v>402</v>
      </c>
      <c r="B6" s="91">
        <v>0.02</v>
      </c>
      <c r="C6" s="91">
        <v>0.02</v>
      </c>
      <c r="D6" s="91" t="s">
        <v>403</v>
      </c>
      <c r="E6" s="222" t="s">
        <v>150</v>
      </c>
      <c r="G6" s="417">
        <f t="shared" ref="G6:G23" si="2">$G$4+G5</f>
        <v>1576800</v>
      </c>
      <c r="H6" s="290">
        <v>150</v>
      </c>
      <c r="I6" s="24">
        <v>3</v>
      </c>
      <c r="J6" s="24" t="s">
        <v>400</v>
      </c>
      <c r="K6" s="291">
        <f>(H6-H5)*4</f>
        <v>200</v>
      </c>
      <c r="L6" s="24">
        <f t="shared" si="1"/>
        <v>200</v>
      </c>
      <c r="M6" s="292">
        <v>0.2</v>
      </c>
      <c r="N6" s="23">
        <f t="shared" ref="N6:N22" si="3">M6*10</f>
        <v>2</v>
      </c>
      <c r="O6" s="23">
        <v>0</v>
      </c>
      <c r="P6" s="24">
        <v>0.25</v>
      </c>
      <c r="Q6" s="290">
        <f t="shared" si="0"/>
        <v>10</v>
      </c>
      <c r="R6" s="318">
        <f t="shared" ref="R6:R23" si="4">(H6-H5)*$D$50</f>
        <v>24.291849860976843</v>
      </c>
    </row>
    <row r="7" spans="1:18" x14ac:dyDescent="0.25">
      <c r="A7" s="379" t="s">
        <v>404</v>
      </c>
      <c r="B7" s="91">
        <v>0</v>
      </c>
      <c r="C7" s="91">
        <v>0</v>
      </c>
      <c r="D7" s="91" t="s">
        <v>405</v>
      </c>
      <c r="E7" s="222" t="s">
        <v>150</v>
      </c>
      <c r="G7" s="417">
        <f t="shared" si="2"/>
        <v>2102400</v>
      </c>
      <c r="H7" s="290">
        <v>200</v>
      </c>
      <c r="I7" s="24">
        <v>4</v>
      </c>
      <c r="J7" s="24" t="s">
        <v>400</v>
      </c>
      <c r="K7" s="291">
        <f>(H7-H6)*4</f>
        <v>200</v>
      </c>
      <c r="L7" s="24">
        <f t="shared" si="1"/>
        <v>200</v>
      </c>
      <c r="M7" s="292">
        <v>0.2</v>
      </c>
      <c r="N7" s="23">
        <f t="shared" si="3"/>
        <v>2</v>
      </c>
      <c r="O7" s="23">
        <v>0</v>
      </c>
      <c r="P7" s="24">
        <v>0.25</v>
      </c>
      <c r="Q7" s="290">
        <f t="shared" si="0"/>
        <v>10</v>
      </c>
      <c r="R7" s="318">
        <f t="shared" si="4"/>
        <v>24.291849860976843</v>
      </c>
    </row>
    <row r="8" spans="1:18" x14ac:dyDescent="0.25">
      <c r="A8" s="282" t="s">
        <v>406</v>
      </c>
      <c r="B8" s="91">
        <v>1.2E-2</v>
      </c>
      <c r="C8" s="91">
        <v>0.11799999999999999</v>
      </c>
      <c r="D8" s="91" t="s">
        <v>407</v>
      </c>
      <c r="E8" s="222" t="s">
        <v>151</v>
      </c>
      <c r="G8" s="417">
        <f t="shared" si="2"/>
        <v>2628000</v>
      </c>
      <c r="H8" s="290">
        <v>250</v>
      </c>
      <c r="I8" s="24">
        <v>5</v>
      </c>
      <c r="J8" s="24" t="s">
        <v>400</v>
      </c>
      <c r="K8" s="291">
        <f t="shared" ref="K8:K23" si="5">(H8-H7)*4</f>
        <v>200</v>
      </c>
      <c r="L8" s="24">
        <f t="shared" si="1"/>
        <v>200</v>
      </c>
      <c r="M8" s="292">
        <v>0.2</v>
      </c>
      <c r="N8" s="23">
        <f t="shared" si="3"/>
        <v>2</v>
      </c>
      <c r="O8" s="23">
        <v>0</v>
      </c>
      <c r="P8" s="24">
        <v>0.25</v>
      </c>
      <c r="Q8" s="290">
        <f t="shared" si="0"/>
        <v>10</v>
      </c>
      <c r="R8" s="318">
        <f t="shared" si="4"/>
        <v>24.291849860976843</v>
      </c>
    </row>
    <row r="9" spans="1:18" x14ac:dyDescent="0.25">
      <c r="A9" s="282" t="s">
        <v>408</v>
      </c>
      <c r="B9" s="91">
        <v>10</v>
      </c>
      <c r="C9" s="91">
        <v>10</v>
      </c>
      <c r="D9" s="91" t="s">
        <v>409</v>
      </c>
      <c r="E9" s="222" t="s">
        <v>151</v>
      </c>
      <c r="G9" s="417">
        <f t="shared" si="2"/>
        <v>3153600</v>
      </c>
      <c r="H9" s="290">
        <v>300</v>
      </c>
      <c r="I9" s="24">
        <v>6</v>
      </c>
      <c r="J9" s="24" t="s">
        <v>400</v>
      </c>
      <c r="K9" s="291">
        <f t="shared" si="5"/>
        <v>200</v>
      </c>
      <c r="L9" s="24">
        <f t="shared" si="1"/>
        <v>200</v>
      </c>
      <c r="M9" s="292">
        <v>0.2</v>
      </c>
      <c r="N9" s="23">
        <f t="shared" si="3"/>
        <v>2</v>
      </c>
      <c r="O9" s="23">
        <v>0</v>
      </c>
      <c r="P9" s="24">
        <v>0.25</v>
      </c>
      <c r="Q9" s="290">
        <f t="shared" si="0"/>
        <v>10</v>
      </c>
      <c r="R9" s="318">
        <f t="shared" si="4"/>
        <v>24.291849860976843</v>
      </c>
    </row>
    <row r="10" spans="1:18" x14ac:dyDescent="0.25">
      <c r="A10" s="282" t="s">
        <v>381</v>
      </c>
      <c r="B10" s="91">
        <v>0.19</v>
      </c>
      <c r="C10" s="91">
        <v>0.19</v>
      </c>
      <c r="D10" s="91" t="s">
        <v>410</v>
      </c>
      <c r="E10" s="222" t="s">
        <v>151</v>
      </c>
      <c r="G10" s="417">
        <f t="shared" si="2"/>
        <v>3679200</v>
      </c>
      <c r="H10" s="290">
        <v>350</v>
      </c>
      <c r="I10" s="24">
        <v>7</v>
      </c>
      <c r="J10" s="24" t="s">
        <v>400</v>
      </c>
      <c r="K10" s="291">
        <f t="shared" si="5"/>
        <v>200</v>
      </c>
      <c r="L10" s="24">
        <f t="shared" si="1"/>
        <v>200</v>
      </c>
      <c r="M10" s="292">
        <v>0.2</v>
      </c>
      <c r="N10" s="23">
        <f t="shared" si="3"/>
        <v>2</v>
      </c>
      <c r="O10" s="23">
        <v>0</v>
      </c>
      <c r="P10" s="24">
        <v>0.25</v>
      </c>
      <c r="Q10" s="290">
        <f t="shared" si="0"/>
        <v>10</v>
      </c>
      <c r="R10" s="318">
        <f t="shared" si="4"/>
        <v>24.291849860976843</v>
      </c>
    </row>
    <row r="11" spans="1:18" ht="14.4" thickBot="1" x14ac:dyDescent="0.3">
      <c r="A11" s="294" t="s">
        <v>148</v>
      </c>
      <c r="B11" s="295">
        <v>3</v>
      </c>
      <c r="C11" s="295">
        <v>3</v>
      </c>
      <c r="D11" s="296" t="s">
        <v>411</v>
      </c>
      <c r="E11" s="297" t="s">
        <v>10</v>
      </c>
      <c r="G11" s="417">
        <f t="shared" si="2"/>
        <v>4204800</v>
      </c>
      <c r="H11" s="290">
        <v>400</v>
      </c>
      <c r="I11" s="24">
        <v>8</v>
      </c>
      <c r="J11" s="24" t="s">
        <v>400</v>
      </c>
      <c r="K11" s="291">
        <f t="shared" si="5"/>
        <v>200</v>
      </c>
      <c r="L11" s="24">
        <f t="shared" si="1"/>
        <v>200</v>
      </c>
      <c r="M11" s="292">
        <v>0.2</v>
      </c>
      <c r="N11" s="23">
        <f t="shared" si="3"/>
        <v>2</v>
      </c>
      <c r="O11" s="23">
        <v>0</v>
      </c>
      <c r="P11" s="24">
        <v>0.25</v>
      </c>
      <c r="Q11" s="290">
        <f t="shared" si="0"/>
        <v>10</v>
      </c>
      <c r="R11" s="318">
        <f t="shared" si="4"/>
        <v>24.291849860976843</v>
      </c>
    </row>
    <row r="12" spans="1:18" x14ac:dyDescent="0.25">
      <c r="G12" s="417">
        <f t="shared" si="2"/>
        <v>4730400</v>
      </c>
      <c r="H12" s="290">
        <v>450</v>
      </c>
      <c r="I12" s="24">
        <v>9</v>
      </c>
      <c r="J12" s="24" t="s">
        <v>400</v>
      </c>
      <c r="K12" s="291">
        <f t="shared" si="5"/>
        <v>200</v>
      </c>
      <c r="L12" s="24">
        <f t="shared" si="1"/>
        <v>200</v>
      </c>
      <c r="M12" s="292">
        <v>0.2</v>
      </c>
      <c r="N12" s="23">
        <f t="shared" si="3"/>
        <v>2</v>
      </c>
      <c r="O12" s="23">
        <v>0</v>
      </c>
      <c r="P12" s="24">
        <v>0.25</v>
      </c>
      <c r="Q12" s="290">
        <f t="shared" si="0"/>
        <v>10</v>
      </c>
      <c r="R12" s="318">
        <f t="shared" si="4"/>
        <v>24.291849860976843</v>
      </c>
    </row>
    <row r="13" spans="1:18" x14ac:dyDescent="0.25">
      <c r="A13" s="107" t="s">
        <v>4</v>
      </c>
      <c r="G13" s="417">
        <f t="shared" si="2"/>
        <v>5256000</v>
      </c>
      <c r="H13" s="290">
        <v>500</v>
      </c>
      <c r="I13" s="24">
        <v>10</v>
      </c>
      <c r="J13" s="24" t="s">
        <v>400</v>
      </c>
      <c r="K13" s="291">
        <f t="shared" si="5"/>
        <v>200</v>
      </c>
      <c r="L13" s="24">
        <f t="shared" si="1"/>
        <v>200</v>
      </c>
      <c r="M13" s="292">
        <v>0.2</v>
      </c>
      <c r="N13" s="23">
        <f t="shared" si="3"/>
        <v>2</v>
      </c>
      <c r="O13" s="23">
        <v>5</v>
      </c>
      <c r="P13" s="24">
        <v>0.25</v>
      </c>
      <c r="Q13" s="290">
        <f t="shared" si="0"/>
        <v>10</v>
      </c>
      <c r="R13" s="318">
        <f t="shared" si="4"/>
        <v>24.291849860976843</v>
      </c>
    </row>
    <row r="14" spans="1:18" x14ac:dyDescent="0.25">
      <c r="A14" s="2" t="s">
        <v>412</v>
      </c>
      <c r="G14" s="417">
        <f t="shared" si="2"/>
        <v>5781600</v>
      </c>
      <c r="H14" s="290">
        <v>550</v>
      </c>
      <c r="I14" s="24">
        <v>11</v>
      </c>
      <c r="J14" s="24" t="s">
        <v>400</v>
      </c>
      <c r="K14" s="291">
        <f t="shared" si="5"/>
        <v>200</v>
      </c>
      <c r="L14" s="24">
        <f t="shared" si="1"/>
        <v>200</v>
      </c>
      <c r="M14" s="292">
        <v>0.2</v>
      </c>
      <c r="N14" s="23">
        <f t="shared" si="3"/>
        <v>2</v>
      </c>
      <c r="O14" s="23">
        <v>5</v>
      </c>
      <c r="P14" s="24">
        <v>0.25</v>
      </c>
      <c r="Q14" s="290">
        <f t="shared" si="0"/>
        <v>10</v>
      </c>
      <c r="R14" s="318">
        <f t="shared" si="4"/>
        <v>24.291849860976843</v>
      </c>
    </row>
    <row r="15" spans="1:18" x14ac:dyDescent="0.25">
      <c r="A15" s="2" t="s">
        <v>413</v>
      </c>
      <c r="G15" s="417">
        <f t="shared" si="2"/>
        <v>6307200</v>
      </c>
      <c r="H15" s="290">
        <v>600</v>
      </c>
      <c r="I15" s="24">
        <v>12</v>
      </c>
      <c r="J15" s="24" t="s">
        <v>400</v>
      </c>
      <c r="K15" s="291">
        <f t="shared" si="5"/>
        <v>200</v>
      </c>
      <c r="L15" s="24">
        <f t="shared" si="1"/>
        <v>200</v>
      </c>
      <c r="M15" s="292">
        <v>0.2</v>
      </c>
      <c r="N15" s="23">
        <f t="shared" si="3"/>
        <v>2</v>
      </c>
      <c r="O15" s="23">
        <v>5</v>
      </c>
      <c r="P15" s="24">
        <v>0.25</v>
      </c>
      <c r="Q15" s="290">
        <f t="shared" si="0"/>
        <v>10</v>
      </c>
      <c r="R15" s="318">
        <f t="shared" si="4"/>
        <v>24.291849860976843</v>
      </c>
    </row>
    <row r="16" spans="1:18" x14ac:dyDescent="0.25">
      <c r="A16" s="2" t="s">
        <v>414</v>
      </c>
      <c r="G16" s="417">
        <f t="shared" si="2"/>
        <v>6832800</v>
      </c>
      <c r="H16" s="290">
        <v>650</v>
      </c>
      <c r="I16" s="24">
        <v>13</v>
      </c>
      <c r="J16" s="24" t="s">
        <v>400</v>
      </c>
      <c r="K16" s="291">
        <f t="shared" si="5"/>
        <v>200</v>
      </c>
      <c r="L16" s="24">
        <f t="shared" si="1"/>
        <v>200</v>
      </c>
      <c r="M16" s="292">
        <v>0.2</v>
      </c>
      <c r="N16" s="23">
        <f t="shared" si="3"/>
        <v>2</v>
      </c>
      <c r="O16" s="23">
        <v>5</v>
      </c>
      <c r="P16" s="24">
        <v>0.25</v>
      </c>
      <c r="Q16" s="290">
        <f t="shared" si="0"/>
        <v>10</v>
      </c>
      <c r="R16" s="318">
        <f t="shared" si="4"/>
        <v>24.291849860976843</v>
      </c>
    </row>
    <row r="17" spans="1:41" x14ac:dyDescent="0.25">
      <c r="A17" s="2" t="s">
        <v>415</v>
      </c>
      <c r="G17" s="417">
        <f t="shared" si="2"/>
        <v>7358400</v>
      </c>
      <c r="H17" s="290">
        <v>700</v>
      </c>
      <c r="I17" s="24">
        <v>14</v>
      </c>
      <c r="J17" s="24" t="s">
        <v>400</v>
      </c>
      <c r="K17" s="291">
        <f t="shared" si="5"/>
        <v>200</v>
      </c>
      <c r="L17" s="24">
        <f t="shared" si="1"/>
        <v>200</v>
      </c>
      <c r="M17" s="292">
        <v>0.2</v>
      </c>
      <c r="N17" s="23">
        <f t="shared" si="3"/>
        <v>2</v>
      </c>
      <c r="O17" s="23">
        <v>5</v>
      </c>
      <c r="P17" s="24">
        <v>0.25</v>
      </c>
      <c r="Q17" s="290">
        <f t="shared" si="0"/>
        <v>10</v>
      </c>
      <c r="R17" s="318">
        <f t="shared" si="4"/>
        <v>24.291849860976843</v>
      </c>
    </row>
    <row r="18" spans="1:41" x14ac:dyDescent="0.25">
      <c r="A18" s="2" t="s">
        <v>514</v>
      </c>
      <c r="G18" s="417">
        <f t="shared" si="2"/>
        <v>7884000</v>
      </c>
      <c r="H18" s="290">
        <v>750</v>
      </c>
      <c r="I18" s="24">
        <v>15</v>
      </c>
      <c r="J18" s="24" t="s">
        <v>400</v>
      </c>
      <c r="K18" s="291">
        <f t="shared" si="5"/>
        <v>200</v>
      </c>
      <c r="L18" s="24">
        <f t="shared" si="1"/>
        <v>200</v>
      </c>
      <c r="M18" s="292">
        <v>0.2</v>
      </c>
      <c r="N18" s="23">
        <f t="shared" si="3"/>
        <v>2</v>
      </c>
      <c r="O18" s="23">
        <v>5</v>
      </c>
      <c r="P18" s="24">
        <v>0.25</v>
      </c>
      <c r="Q18" s="290">
        <f t="shared" si="0"/>
        <v>10</v>
      </c>
      <c r="R18" s="318">
        <f t="shared" si="4"/>
        <v>24.291849860976843</v>
      </c>
    </row>
    <row r="19" spans="1:41" x14ac:dyDescent="0.25">
      <c r="A19" s="2" t="s">
        <v>416</v>
      </c>
      <c r="G19" s="417">
        <f t="shared" si="2"/>
        <v>8409600</v>
      </c>
      <c r="H19" s="290">
        <v>800</v>
      </c>
      <c r="I19" s="24">
        <v>16</v>
      </c>
      <c r="J19" s="24" t="s">
        <v>400</v>
      </c>
      <c r="K19" s="291">
        <f t="shared" si="5"/>
        <v>200</v>
      </c>
      <c r="L19" s="24">
        <f t="shared" si="1"/>
        <v>200</v>
      </c>
      <c r="M19" s="292">
        <v>0.2</v>
      </c>
      <c r="N19" s="23">
        <f t="shared" si="3"/>
        <v>2</v>
      </c>
      <c r="O19" s="23">
        <v>5</v>
      </c>
      <c r="P19" s="24">
        <v>0.25</v>
      </c>
      <c r="Q19" s="290">
        <f t="shared" si="0"/>
        <v>10</v>
      </c>
      <c r="R19" s="318">
        <f t="shared" si="4"/>
        <v>24.291849860976843</v>
      </c>
    </row>
    <row r="20" spans="1:41" x14ac:dyDescent="0.25">
      <c r="A20" s="2" t="s">
        <v>417</v>
      </c>
      <c r="G20" s="417">
        <f t="shared" si="2"/>
        <v>8935200</v>
      </c>
      <c r="H20" s="290">
        <v>850</v>
      </c>
      <c r="I20" s="24">
        <v>17</v>
      </c>
      <c r="J20" s="24" t="s">
        <v>400</v>
      </c>
      <c r="K20" s="291">
        <f t="shared" si="5"/>
        <v>200</v>
      </c>
      <c r="L20" s="24">
        <f t="shared" si="1"/>
        <v>200</v>
      </c>
      <c r="M20" s="292">
        <v>0.2</v>
      </c>
      <c r="N20" s="23">
        <f t="shared" si="3"/>
        <v>2</v>
      </c>
      <c r="O20" s="23">
        <v>5</v>
      </c>
      <c r="P20" s="24">
        <v>0.25</v>
      </c>
      <c r="Q20" s="290">
        <f t="shared" si="0"/>
        <v>10</v>
      </c>
      <c r="R20" s="318">
        <f t="shared" si="4"/>
        <v>24.291849860976843</v>
      </c>
    </row>
    <row r="21" spans="1:41" x14ac:dyDescent="0.25">
      <c r="A21" s="2" t="s">
        <v>520</v>
      </c>
      <c r="G21" s="417">
        <f t="shared" si="2"/>
        <v>9460800</v>
      </c>
      <c r="H21" s="290">
        <v>900</v>
      </c>
      <c r="I21" s="24">
        <v>18</v>
      </c>
      <c r="J21" s="24" t="s">
        <v>400</v>
      </c>
      <c r="K21" s="291">
        <f t="shared" si="5"/>
        <v>200</v>
      </c>
      <c r="L21" s="24">
        <f t="shared" si="1"/>
        <v>200</v>
      </c>
      <c r="M21" s="292">
        <v>0.2</v>
      </c>
      <c r="N21" s="23">
        <f t="shared" si="3"/>
        <v>2</v>
      </c>
      <c r="O21" s="23">
        <v>5</v>
      </c>
      <c r="P21" s="24">
        <v>0.25</v>
      </c>
      <c r="Q21" s="290">
        <f t="shared" si="0"/>
        <v>10</v>
      </c>
      <c r="R21" s="318">
        <f t="shared" si="4"/>
        <v>24.291849860976843</v>
      </c>
    </row>
    <row r="22" spans="1:41" x14ac:dyDescent="0.25">
      <c r="G22" s="417">
        <f t="shared" si="2"/>
        <v>9986400</v>
      </c>
      <c r="H22" s="290">
        <v>950</v>
      </c>
      <c r="I22" s="24">
        <v>19</v>
      </c>
      <c r="J22" s="24" t="s">
        <v>400</v>
      </c>
      <c r="K22" s="291">
        <f t="shared" si="5"/>
        <v>200</v>
      </c>
      <c r="L22" s="24">
        <f t="shared" si="1"/>
        <v>200</v>
      </c>
      <c r="M22" s="292">
        <v>0.2</v>
      </c>
      <c r="N22" s="23">
        <f t="shared" si="3"/>
        <v>2</v>
      </c>
      <c r="O22" s="23">
        <v>5</v>
      </c>
      <c r="P22" s="24">
        <v>0.25</v>
      </c>
      <c r="Q22" s="290">
        <f t="shared" si="0"/>
        <v>10</v>
      </c>
      <c r="R22" s="318">
        <f t="shared" si="4"/>
        <v>24.291849860976843</v>
      </c>
    </row>
    <row r="23" spans="1:41" ht="14.4" thickBot="1" x14ac:dyDescent="0.3">
      <c r="A23" s="298" t="s">
        <v>523</v>
      </c>
      <c r="B23" s="298"/>
      <c r="C23" s="298"/>
      <c r="D23" s="298"/>
      <c r="E23" s="106"/>
      <c r="G23" s="418">
        <f t="shared" si="2"/>
        <v>10512000</v>
      </c>
      <c r="H23" s="321">
        <v>1000</v>
      </c>
      <c r="I23" s="322">
        <v>20</v>
      </c>
      <c r="J23" s="322" t="s">
        <v>400</v>
      </c>
      <c r="K23" s="324">
        <f t="shared" si="5"/>
        <v>200</v>
      </c>
      <c r="L23" s="322">
        <f t="shared" si="1"/>
        <v>200</v>
      </c>
      <c r="M23" s="419">
        <v>0.2</v>
      </c>
      <c r="N23" s="420">
        <f>M23*10</f>
        <v>2</v>
      </c>
      <c r="O23" s="420">
        <v>5</v>
      </c>
      <c r="P23" s="322">
        <v>0.25</v>
      </c>
      <c r="Q23" s="321">
        <f t="shared" si="0"/>
        <v>10</v>
      </c>
      <c r="R23" s="326">
        <f t="shared" si="4"/>
        <v>24.291849860976843</v>
      </c>
    </row>
    <row r="24" spans="1:41" ht="14.4" customHeight="1" x14ac:dyDescent="0.3">
      <c r="A24" s="299" t="s">
        <v>419</v>
      </c>
      <c r="B24" s="300" t="s">
        <v>420</v>
      </c>
      <c r="C24" s="300" t="s">
        <v>382</v>
      </c>
      <c r="D24" s="300" t="s">
        <v>421</v>
      </c>
      <c r="E24"/>
      <c r="M24" s="301"/>
      <c r="O24" s="301"/>
      <c r="P24" s="301"/>
      <c r="R24" s="301"/>
    </row>
    <row r="25" spans="1:41" ht="16.2" thickBot="1" x14ac:dyDescent="0.35">
      <c r="A25" s="302" t="s">
        <v>422</v>
      </c>
      <c r="B25" s="44">
        <v>12</v>
      </c>
      <c r="C25" s="44">
        <v>3236</v>
      </c>
      <c r="D25" s="303">
        <f>B25/C25</f>
        <v>3.708281829419036E-3</v>
      </c>
      <c r="E25"/>
      <c r="G25" s="519" t="s">
        <v>423</v>
      </c>
      <c r="H25" s="519"/>
      <c r="I25" s="519"/>
      <c r="J25" s="519"/>
      <c r="K25" s="519"/>
      <c r="L25" s="519"/>
      <c r="M25" s="519"/>
      <c r="N25" s="519"/>
      <c r="O25" s="519"/>
      <c r="P25" s="519"/>
      <c r="Q25" s="519"/>
      <c r="R25" s="519"/>
      <c r="T25" s="517" t="s">
        <v>424</v>
      </c>
      <c r="U25" s="517"/>
      <c r="V25" s="517"/>
      <c r="W25" s="517"/>
      <c r="X25" s="517"/>
      <c r="Y25" s="517"/>
      <c r="Z25" s="517"/>
      <c r="AA25" s="517"/>
      <c r="AB25" s="517"/>
      <c r="AC25" s="517"/>
      <c r="AD25" s="517"/>
      <c r="AE25" s="517"/>
      <c r="AF25" s="517"/>
      <c r="AG25" s="517"/>
      <c r="AH25" s="517"/>
      <c r="AI25" s="517"/>
      <c r="AJ25" s="517"/>
      <c r="AK25" s="517"/>
      <c r="AL25" s="517"/>
      <c r="AM25" s="517"/>
    </row>
    <row r="26" spans="1:41" ht="14.4" x14ac:dyDescent="0.3">
      <c r="A26" s="302" t="s">
        <v>425</v>
      </c>
      <c r="B26" s="44">
        <v>44</v>
      </c>
      <c r="C26" s="44">
        <v>630</v>
      </c>
      <c r="D26" s="303">
        <f>B26/C26</f>
        <v>6.9841269841269843E-2</v>
      </c>
      <c r="E26"/>
      <c r="G26" s="314" t="s">
        <v>372</v>
      </c>
      <c r="H26" s="315" t="s">
        <v>389</v>
      </c>
      <c r="I26" s="315" t="s">
        <v>390</v>
      </c>
      <c r="J26" s="315" t="s">
        <v>345</v>
      </c>
      <c r="K26" s="315" t="s">
        <v>426</v>
      </c>
      <c r="L26" s="315" t="s">
        <v>427</v>
      </c>
      <c r="M26" s="315" t="s">
        <v>428</v>
      </c>
      <c r="N26" s="364" t="s">
        <v>429</v>
      </c>
      <c r="O26" s="364" t="s">
        <v>430</v>
      </c>
      <c r="P26" s="315" t="s">
        <v>431</v>
      </c>
      <c r="Q26" s="414" t="s">
        <v>432</v>
      </c>
      <c r="R26" s="316" t="s">
        <v>433</v>
      </c>
      <c r="T26" s="424">
        <v>2024</v>
      </c>
      <c r="U26" s="425">
        <v>2025</v>
      </c>
      <c r="V26" s="425">
        <v>2026</v>
      </c>
      <c r="W26" s="425">
        <v>2027</v>
      </c>
      <c r="X26" s="425">
        <v>2028</v>
      </c>
      <c r="Y26" s="425">
        <v>2029</v>
      </c>
      <c r="Z26" s="425">
        <v>2030</v>
      </c>
      <c r="AA26" s="425">
        <v>2031</v>
      </c>
      <c r="AB26" s="425">
        <v>2032</v>
      </c>
      <c r="AC26" s="425">
        <v>2033</v>
      </c>
      <c r="AD26" s="425">
        <v>2034</v>
      </c>
      <c r="AE26" s="425">
        <v>2035</v>
      </c>
      <c r="AF26" s="425">
        <v>2036</v>
      </c>
      <c r="AG26" s="425">
        <v>2037</v>
      </c>
      <c r="AH26" s="425">
        <v>2038</v>
      </c>
      <c r="AI26" s="425">
        <v>2039</v>
      </c>
      <c r="AJ26" s="425">
        <v>2040</v>
      </c>
      <c r="AK26" s="425">
        <v>2041</v>
      </c>
      <c r="AL26" s="425">
        <v>2042</v>
      </c>
      <c r="AM26" s="426">
        <v>2043</v>
      </c>
      <c r="AO26" s="432" t="s">
        <v>434</v>
      </c>
    </row>
    <row r="27" spans="1:41" ht="14.4" x14ac:dyDescent="0.3">
      <c r="A27" s="302" t="s">
        <v>435</v>
      </c>
      <c r="B27" s="44">
        <v>150</v>
      </c>
      <c r="C27" s="44">
        <v>4425</v>
      </c>
      <c r="D27" s="303">
        <f>B27/C27</f>
        <v>3.3898305084745763E-2</v>
      </c>
      <c r="E27"/>
      <c r="G27" s="319">
        <f>G3</f>
        <v>0</v>
      </c>
      <c r="H27" s="24">
        <v>0</v>
      </c>
      <c r="I27" s="24">
        <v>0</v>
      </c>
      <c r="J27" s="24" t="s">
        <v>400</v>
      </c>
      <c r="K27" s="24">
        <v>0</v>
      </c>
      <c r="L27" s="24">
        <v>0</v>
      </c>
      <c r="M27" s="292">
        <f t="shared" ref="M27:M47" si="6">M3*$B$5</f>
        <v>0</v>
      </c>
      <c r="N27" s="411">
        <f t="shared" ref="N27:N47" si="7">N3*$B$6</f>
        <v>0</v>
      </c>
      <c r="O27" s="23">
        <f t="shared" ref="O27:O47" si="8">O3*$B$7</f>
        <v>0</v>
      </c>
      <c r="P27" s="305">
        <f t="shared" ref="P27:P47" si="9">P3*$B$8</f>
        <v>0</v>
      </c>
      <c r="Q27" s="412">
        <f t="shared" ref="Q27:Q28" si="10">(M27+N27)*(Q3/100)</f>
        <v>0</v>
      </c>
      <c r="R27" s="409">
        <f t="shared" ref="R27:R47" si="11">R3*$B$10</f>
        <v>0</v>
      </c>
      <c r="S27" s="301"/>
      <c r="T27" s="427">
        <f>(P27+Q27+R27)</f>
        <v>0</v>
      </c>
      <c r="U27" s="306">
        <f t="shared" ref="U27:AM27" si="12">$T$27/POWER(1+($B$11/100),U26-2024)</f>
        <v>0</v>
      </c>
      <c r="V27" s="306">
        <f t="shared" si="12"/>
        <v>0</v>
      </c>
      <c r="W27" s="306">
        <f t="shared" si="12"/>
        <v>0</v>
      </c>
      <c r="X27" s="306">
        <f t="shared" si="12"/>
        <v>0</v>
      </c>
      <c r="Y27" s="306">
        <f t="shared" si="12"/>
        <v>0</v>
      </c>
      <c r="Z27" s="306">
        <f t="shared" si="12"/>
        <v>0</v>
      </c>
      <c r="AA27" s="306">
        <f t="shared" si="12"/>
        <v>0</v>
      </c>
      <c r="AB27" s="306">
        <f t="shared" si="12"/>
        <v>0</v>
      </c>
      <c r="AC27" s="306">
        <f t="shared" si="12"/>
        <v>0</v>
      </c>
      <c r="AD27" s="306">
        <f t="shared" si="12"/>
        <v>0</v>
      </c>
      <c r="AE27" s="306">
        <f t="shared" si="12"/>
        <v>0</v>
      </c>
      <c r="AF27" s="306">
        <f t="shared" si="12"/>
        <v>0</v>
      </c>
      <c r="AG27" s="306">
        <f t="shared" si="12"/>
        <v>0</v>
      </c>
      <c r="AH27" s="306">
        <f t="shared" si="12"/>
        <v>0</v>
      </c>
      <c r="AI27" s="306">
        <f t="shared" si="12"/>
        <v>0</v>
      </c>
      <c r="AJ27" s="306">
        <f t="shared" si="12"/>
        <v>0</v>
      </c>
      <c r="AK27" s="306">
        <f t="shared" si="12"/>
        <v>0</v>
      </c>
      <c r="AL27" s="306">
        <f t="shared" si="12"/>
        <v>0</v>
      </c>
      <c r="AM27" s="428">
        <f t="shared" si="12"/>
        <v>0</v>
      </c>
      <c r="AO27" s="433">
        <f t="shared" ref="AO27:AO47" si="13">SUM(T27:AM27)</f>
        <v>0</v>
      </c>
    </row>
    <row r="28" spans="1:41" ht="15" thickBot="1" x14ac:dyDescent="0.35">
      <c r="A28" s="307" t="s">
        <v>436</v>
      </c>
      <c r="B28" s="308">
        <v>20</v>
      </c>
      <c r="C28" s="308">
        <v>44</v>
      </c>
      <c r="D28" s="309">
        <f>B28/C28</f>
        <v>0.45454545454545453</v>
      </c>
      <c r="E28"/>
      <c r="G28" s="319">
        <f t="shared" ref="G28:G47" si="14">G4</f>
        <v>525600</v>
      </c>
      <c r="H28" s="290">
        <f t="shared" ref="H28:H47" si="15">H4</f>
        <v>50</v>
      </c>
      <c r="I28" s="24">
        <v>1</v>
      </c>
      <c r="J28" s="24" t="s">
        <v>400</v>
      </c>
      <c r="K28" s="291">
        <f>K4*$B$3</f>
        <v>60</v>
      </c>
      <c r="L28" s="23">
        <f>L4*$B$4</f>
        <v>54</v>
      </c>
      <c r="M28" s="292">
        <f t="shared" si="6"/>
        <v>5</v>
      </c>
      <c r="N28" s="411">
        <f t="shared" si="7"/>
        <v>2</v>
      </c>
      <c r="O28" s="23">
        <f t="shared" si="8"/>
        <v>0</v>
      </c>
      <c r="P28" s="305">
        <f t="shared" si="9"/>
        <v>0.03</v>
      </c>
      <c r="Q28" s="412">
        <f t="shared" si="10"/>
        <v>0.70000000000000007</v>
      </c>
      <c r="R28" s="409">
        <f t="shared" si="11"/>
        <v>38</v>
      </c>
      <c r="T28" s="427">
        <f>(P28+Q28+R28)</f>
        <v>38.729999999999997</v>
      </c>
      <c r="U28" s="306">
        <f t="shared" ref="U28:AM28" si="16">$T$28/POWER(1+($B$11/100),U26-2024)</f>
        <v>37.601941747572809</v>
      </c>
      <c r="V28" s="306">
        <f t="shared" si="16"/>
        <v>36.506739560750304</v>
      </c>
      <c r="W28" s="306">
        <f t="shared" si="16"/>
        <v>35.443436466747869</v>
      </c>
      <c r="X28" s="306">
        <f t="shared" si="16"/>
        <v>34.411103365774629</v>
      </c>
      <c r="Y28" s="306">
        <f t="shared" si="16"/>
        <v>33.408838219198671</v>
      </c>
      <c r="Z28" s="306">
        <f t="shared" si="16"/>
        <v>32.435765261357936</v>
      </c>
      <c r="AA28" s="306">
        <f t="shared" si="16"/>
        <v>31.491034234328087</v>
      </c>
      <c r="AB28" s="306">
        <f t="shared" si="16"/>
        <v>30.57381964497873</v>
      </c>
      <c r="AC28" s="306">
        <f t="shared" si="16"/>
        <v>29.683320043668669</v>
      </c>
      <c r="AD28" s="306">
        <f t="shared" si="16"/>
        <v>28.818757323950166</v>
      </c>
      <c r="AE28" s="306">
        <f t="shared" si="16"/>
        <v>27.979376042670062</v>
      </c>
      <c r="AF28" s="306">
        <f t="shared" si="16"/>
        <v>27.16444275987385</v>
      </c>
      <c r="AG28" s="306">
        <f t="shared" si="16"/>
        <v>26.373245397935779</v>
      </c>
      <c r="AH28" s="306">
        <f t="shared" si="16"/>
        <v>25.605092619355123</v>
      </c>
      <c r="AI28" s="306">
        <f t="shared" si="16"/>
        <v>24.859313222674874</v>
      </c>
      <c r="AJ28" s="306">
        <f t="shared" si="16"/>
        <v>24.135255555995027</v>
      </c>
      <c r="AK28" s="306">
        <f t="shared" si="16"/>
        <v>23.432286947567988</v>
      </c>
      <c r="AL28" s="306">
        <f t="shared" si="16"/>
        <v>22.749793152978629</v>
      </c>
      <c r="AM28" s="428">
        <f t="shared" si="16"/>
        <v>22.087177818425854</v>
      </c>
      <c r="AO28" s="433">
        <f t="shared" si="13"/>
        <v>593.49073938580511</v>
      </c>
    </row>
    <row r="29" spans="1:41" ht="14.4" x14ac:dyDescent="0.3">
      <c r="A29" s="106"/>
      <c r="B29" s="106"/>
      <c r="C29" s="106"/>
      <c r="D29" s="106"/>
      <c r="E29"/>
      <c r="G29" s="319">
        <f t="shared" si="14"/>
        <v>1051200</v>
      </c>
      <c r="H29" s="290">
        <f t="shared" si="15"/>
        <v>100</v>
      </c>
      <c r="I29" s="24">
        <v>2</v>
      </c>
      <c r="J29" s="24" t="s">
        <v>400</v>
      </c>
      <c r="K29" s="24">
        <f t="shared" ref="K29:K47" si="17">K5*$B$3</f>
        <v>60</v>
      </c>
      <c r="L29" s="23">
        <f t="shared" ref="L29:L47" si="18">L5*$B$4</f>
        <v>54</v>
      </c>
      <c r="M29" s="292">
        <f t="shared" si="6"/>
        <v>0.1</v>
      </c>
      <c r="N29" s="411">
        <f t="shared" si="7"/>
        <v>0.04</v>
      </c>
      <c r="O29" s="23">
        <f t="shared" si="8"/>
        <v>0</v>
      </c>
      <c r="P29" s="305">
        <f t="shared" si="9"/>
        <v>3.0000000000000001E-3</v>
      </c>
      <c r="Q29" s="412">
        <f t="shared" ref="Q29:Q47" si="19">(M29+N29)*(Q5/100)</f>
        <v>1.4000000000000002E-2</v>
      </c>
      <c r="R29" s="409">
        <f t="shared" si="11"/>
        <v>4.6154514735856003</v>
      </c>
      <c r="T29" s="427">
        <f t="shared" ref="T29:T47" si="20">(P29+Q29+R29)</f>
        <v>4.6324514735856006</v>
      </c>
      <c r="U29" s="306">
        <f t="shared" ref="U29:AM29" si="21">$T$29/POWER(1+($B$11/100),U26-2024)</f>
        <v>4.4975257025102922</v>
      </c>
      <c r="V29" s="306">
        <f t="shared" si="21"/>
        <v>4.3665298082624195</v>
      </c>
      <c r="W29" s="306">
        <f t="shared" si="21"/>
        <v>4.2393493284101158</v>
      </c>
      <c r="X29" s="306">
        <f t="shared" si="21"/>
        <v>4.1158731343787531</v>
      </c>
      <c r="Y29" s="306">
        <f t="shared" si="21"/>
        <v>3.9959933343483045</v>
      </c>
      <c r="Z29" s="306">
        <f t="shared" si="21"/>
        <v>3.8796051789789363</v>
      </c>
      <c r="AA29" s="306">
        <f t="shared" si="21"/>
        <v>3.7666069698824622</v>
      </c>
      <c r="AB29" s="306">
        <f t="shared" si="21"/>
        <v>3.6568999707596723</v>
      </c>
      <c r="AC29" s="306">
        <f t="shared" si="21"/>
        <v>3.5503883211258955</v>
      </c>
      <c r="AD29" s="306">
        <f t="shared" si="21"/>
        <v>3.4469789525494132</v>
      </c>
      <c r="AE29" s="306">
        <f t="shared" si="21"/>
        <v>3.3465815073295273</v>
      </c>
      <c r="AF29" s="306">
        <f t="shared" si="21"/>
        <v>3.2491082595432306</v>
      </c>
      <c r="AG29" s="306">
        <f t="shared" si="21"/>
        <v>3.1544740383914864</v>
      </c>
      <c r="AH29" s="306">
        <f t="shared" si="21"/>
        <v>3.0625961537781419</v>
      </c>
      <c r="AI29" s="306">
        <f t="shared" si="21"/>
        <v>2.9733943240564482</v>
      </c>
      <c r="AJ29" s="306">
        <f t="shared" si="21"/>
        <v>2.886790605880047</v>
      </c>
      <c r="AK29" s="306">
        <f t="shared" si="21"/>
        <v>2.8027093260971334</v>
      </c>
      <c r="AL29" s="306">
        <f t="shared" si="21"/>
        <v>2.7210770156282846</v>
      </c>
      <c r="AM29" s="428">
        <f t="shared" si="21"/>
        <v>2.6418223452701795</v>
      </c>
      <c r="AO29" s="433">
        <f t="shared" si="13"/>
        <v>70.986755750766335</v>
      </c>
    </row>
    <row r="30" spans="1:41" ht="14.4" x14ac:dyDescent="0.3">
      <c r="A30" s="106"/>
      <c r="B30" s="106"/>
      <c r="C30" s="44" t="s">
        <v>437</v>
      </c>
      <c r="D30" s="310">
        <f>SUM(D25:D27)/3</f>
        <v>3.5815952251811549E-2</v>
      </c>
      <c r="E30"/>
      <c r="G30" s="319">
        <f t="shared" si="14"/>
        <v>1576800</v>
      </c>
      <c r="H30" s="290">
        <f t="shared" si="15"/>
        <v>150</v>
      </c>
      <c r="I30" s="24">
        <v>3</v>
      </c>
      <c r="J30" s="24" t="s">
        <v>400</v>
      </c>
      <c r="K30" s="24">
        <f t="shared" si="17"/>
        <v>60</v>
      </c>
      <c r="L30" s="23">
        <f t="shared" si="18"/>
        <v>54</v>
      </c>
      <c r="M30" s="292">
        <f t="shared" si="6"/>
        <v>0.1</v>
      </c>
      <c r="N30" s="411">
        <f t="shared" si="7"/>
        <v>0.04</v>
      </c>
      <c r="O30" s="23">
        <f t="shared" si="8"/>
        <v>0</v>
      </c>
      <c r="P30" s="305">
        <f t="shared" si="9"/>
        <v>3.0000000000000001E-3</v>
      </c>
      <c r="Q30" s="412">
        <f t="shared" si="19"/>
        <v>1.4000000000000002E-2</v>
      </c>
      <c r="R30" s="409">
        <f t="shared" si="11"/>
        <v>4.6154514735856003</v>
      </c>
      <c r="T30" s="427">
        <f t="shared" si="20"/>
        <v>4.6324514735856006</v>
      </c>
      <c r="U30" s="306">
        <f t="shared" ref="U30:AM30" si="22">$T$30/POWER(1+($B$11/100),U26-2024)</f>
        <v>4.4975257025102922</v>
      </c>
      <c r="V30" s="306">
        <f t="shared" si="22"/>
        <v>4.3665298082624195</v>
      </c>
      <c r="W30" s="306">
        <f t="shared" si="22"/>
        <v>4.2393493284101158</v>
      </c>
      <c r="X30" s="306">
        <f t="shared" si="22"/>
        <v>4.1158731343787531</v>
      </c>
      <c r="Y30" s="306">
        <f t="shared" si="22"/>
        <v>3.9959933343483045</v>
      </c>
      <c r="Z30" s="306">
        <f t="shared" si="22"/>
        <v>3.8796051789789363</v>
      </c>
      <c r="AA30" s="306">
        <f t="shared" si="22"/>
        <v>3.7666069698824622</v>
      </c>
      <c r="AB30" s="306">
        <f t="shared" si="22"/>
        <v>3.6568999707596723</v>
      </c>
      <c r="AC30" s="306">
        <f t="shared" si="22"/>
        <v>3.5503883211258955</v>
      </c>
      <c r="AD30" s="306">
        <f t="shared" si="22"/>
        <v>3.4469789525494132</v>
      </c>
      <c r="AE30" s="306">
        <f t="shared" si="22"/>
        <v>3.3465815073295273</v>
      </c>
      <c r="AF30" s="306">
        <f t="shared" si="22"/>
        <v>3.2491082595432306</v>
      </c>
      <c r="AG30" s="306">
        <f t="shared" si="22"/>
        <v>3.1544740383914864</v>
      </c>
      <c r="AH30" s="306">
        <f t="shared" si="22"/>
        <v>3.0625961537781419</v>
      </c>
      <c r="AI30" s="306">
        <f t="shared" si="22"/>
        <v>2.9733943240564482</v>
      </c>
      <c r="AJ30" s="306">
        <f t="shared" si="22"/>
        <v>2.886790605880047</v>
      </c>
      <c r="AK30" s="306">
        <f t="shared" si="22"/>
        <v>2.8027093260971334</v>
      </c>
      <c r="AL30" s="306">
        <f t="shared" si="22"/>
        <v>2.7210770156282846</v>
      </c>
      <c r="AM30" s="428">
        <f t="shared" si="22"/>
        <v>2.6418223452701795</v>
      </c>
      <c r="AO30" s="433">
        <f t="shared" si="13"/>
        <v>70.986755750766335</v>
      </c>
    </row>
    <row r="31" spans="1:41" ht="14.4" x14ac:dyDescent="0.3">
      <c r="A31" s="106"/>
      <c r="B31" s="106"/>
      <c r="C31" s="44" t="s">
        <v>438</v>
      </c>
      <c r="D31" s="310">
        <f>D28</f>
        <v>0.45454545454545453</v>
      </c>
      <c r="E31"/>
      <c r="G31" s="319">
        <f t="shared" si="14"/>
        <v>2102400</v>
      </c>
      <c r="H31" s="290">
        <f t="shared" si="15"/>
        <v>200</v>
      </c>
      <c r="I31" s="24">
        <v>4</v>
      </c>
      <c r="J31" s="24" t="s">
        <v>400</v>
      </c>
      <c r="K31" s="24">
        <f t="shared" si="17"/>
        <v>60</v>
      </c>
      <c r="L31" s="23">
        <f t="shared" si="18"/>
        <v>54</v>
      </c>
      <c r="M31" s="292">
        <f t="shared" si="6"/>
        <v>0.1</v>
      </c>
      <c r="N31" s="411">
        <f t="shared" si="7"/>
        <v>0.04</v>
      </c>
      <c r="O31" s="23">
        <f t="shared" si="8"/>
        <v>0</v>
      </c>
      <c r="P31" s="305">
        <f t="shared" si="9"/>
        <v>3.0000000000000001E-3</v>
      </c>
      <c r="Q31" s="412">
        <f t="shared" si="19"/>
        <v>1.4000000000000002E-2</v>
      </c>
      <c r="R31" s="409">
        <f t="shared" si="11"/>
        <v>4.6154514735856003</v>
      </c>
      <c r="T31" s="427">
        <f t="shared" si="20"/>
        <v>4.6324514735856006</v>
      </c>
      <c r="U31" s="306">
        <f t="shared" ref="U31:AM31" si="23">$T$31/POWER(1+($B$11/100),U26-2024)</f>
        <v>4.4975257025102922</v>
      </c>
      <c r="V31" s="306">
        <f t="shared" si="23"/>
        <v>4.3665298082624195</v>
      </c>
      <c r="W31" s="306">
        <f t="shared" si="23"/>
        <v>4.2393493284101158</v>
      </c>
      <c r="X31" s="306">
        <f t="shared" si="23"/>
        <v>4.1158731343787531</v>
      </c>
      <c r="Y31" s="306">
        <f t="shared" si="23"/>
        <v>3.9959933343483045</v>
      </c>
      <c r="Z31" s="306">
        <f t="shared" si="23"/>
        <v>3.8796051789789363</v>
      </c>
      <c r="AA31" s="306">
        <f t="shared" si="23"/>
        <v>3.7666069698824622</v>
      </c>
      <c r="AB31" s="306">
        <f t="shared" si="23"/>
        <v>3.6568999707596723</v>
      </c>
      <c r="AC31" s="306">
        <f t="shared" si="23"/>
        <v>3.5503883211258955</v>
      </c>
      <c r="AD31" s="306">
        <f t="shared" si="23"/>
        <v>3.4469789525494132</v>
      </c>
      <c r="AE31" s="306">
        <f t="shared" si="23"/>
        <v>3.3465815073295273</v>
      </c>
      <c r="AF31" s="306">
        <f t="shared" si="23"/>
        <v>3.2491082595432306</v>
      </c>
      <c r="AG31" s="306">
        <f t="shared" si="23"/>
        <v>3.1544740383914864</v>
      </c>
      <c r="AH31" s="306">
        <f t="shared" si="23"/>
        <v>3.0625961537781419</v>
      </c>
      <c r="AI31" s="306">
        <f t="shared" si="23"/>
        <v>2.9733943240564482</v>
      </c>
      <c r="AJ31" s="306">
        <f t="shared" si="23"/>
        <v>2.886790605880047</v>
      </c>
      <c r="AK31" s="306">
        <f t="shared" si="23"/>
        <v>2.8027093260971334</v>
      </c>
      <c r="AL31" s="306">
        <f t="shared" si="23"/>
        <v>2.7210770156282846</v>
      </c>
      <c r="AM31" s="428">
        <f t="shared" si="23"/>
        <v>2.6418223452701795</v>
      </c>
      <c r="AO31" s="433">
        <f t="shared" si="13"/>
        <v>70.986755750766335</v>
      </c>
    </row>
    <row r="32" spans="1:41" ht="14.4" x14ac:dyDescent="0.3">
      <c r="A32" s="106"/>
      <c r="B32" s="106"/>
      <c r="C32" s="106"/>
      <c r="D32" s="106"/>
      <c r="E32"/>
      <c r="G32" s="319">
        <f t="shared" si="14"/>
        <v>2628000</v>
      </c>
      <c r="H32" s="290">
        <f t="shared" si="15"/>
        <v>250</v>
      </c>
      <c r="I32" s="24">
        <v>5</v>
      </c>
      <c r="J32" s="24" t="s">
        <v>400</v>
      </c>
      <c r="K32" s="24">
        <f t="shared" si="17"/>
        <v>60</v>
      </c>
      <c r="L32" s="23">
        <f t="shared" si="18"/>
        <v>54</v>
      </c>
      <c r="M32" s="292">
        <f t="shared" si="6"/>
        <v>0.1</v>
      </c>
      <c r="N32" s="411">
        <f t="shared" si="7"/>
        <v>0.04</v>
      </c>
      <c r="O32" s="23">
        <f t="shared" si="8"/>
        <v>0</v>
      </c>
      <c r="P32" s="305">
        <f t="shared" si="9"/>
        <v>3.0000000000000001E-3</v>
      </c>
      <c r="Q32" s="412">
        <f t="shared" si="19"/>
        <v>1.4000000000000002E-2</v>
      </c>
      <c r="R32" s="409">
        <f t="shared" si="11"/>
        <v>4.6154514735856003</v>
      </c>
      <c r="T32" s="427">
        <f t="shared" si="20"/>
        <v>4.6324514735856006</v>
      </c>
      <c r="U32" s="306">
        <f t="shared" ref="U32:AM32" si="24">$T$32/POWER(1+($B$11/100),U26-2024)</f>
        <v>4.4975257025102922</v>
      </c>
      <c r="V32" s="306">
        <f t="shared" si="24"/>
        <v>4.3665298082624195</v>
      </c>
      <c r="W32" s="306">
        <f t="shared" si="24"/>
        <v>4.2393493284101158</v>
      </c>
      <c r="X32" s="306">
        <f t="shared" si="24"/>
        <v>4.1158731343787531</v>
      </c>
      <c r="Y32" s="306">
        <f t="shared" si="24"/>
        <v>3.9959933343483045</v>
      </c>
      <c r="Z32" s="306">
        <f t="shared" si="24"/>
        <v>3.8796051789789363</v>
      </c>
      <c r="AA32" s="306">
        <f t="shared" si="24"/>
        <v>3.7666069698824622</v>
      </c>
      <c r="AB32" s="306">
        <f t="shared" si="24"/>
        <v>3.6568999707596723</v>
      </c>
      <c r="AC32" s="306">
        <f t="shared" si="24"/>
        <v>3.5503883211258955</v>
      </c>
      <c r="AD32" s="306">
        <f t="shared" si="24"/>
        <v>3.4469789525494132</v>
      </c>
      <c r="AE32" s="306">
        <f t="shared" si="24"/>
        <v>3.3465815073295273</v>
      </c>
      <c r="AF32" s="306">
        <f t="shared" si="24"/>
        <v>3.2491082595432306</v>
      </c>
      <c r="AG32" s="306">
        <f t="shared" si="24"/>
        <v>3.1544740383914864</v>
      </c>
      <c r="AH32" s="306">
        <f t="shared" si="24"/>
        <v>3.0625961537781419</v>
      </c>
      <c r="AI32" s="306">
        <f t="shared" si="24"/>
        <v>2.9733943240564482</v>
      </c>
      <c r="AJ32" s="306">
        <f t="shared" si="24"/>
        <v>2.886790605880047</v>
      </c>
      <c r="AK32" s="306">
        <f t="shared" si="24"/>
        <v>2.8027093260971334</v>
      </c>
      <c r="AL32" s="306">
        <f t="shared" si="24"/>
        <v>2.7210770156282846</v>
      </c>
      <c r="AM32" s="428">
        <f t="shared" si="24"/>
        <v>2.6418223452701795</v>
      </c>
      <c r="AO32" s="433">
        <f t="shared" si="13"/>
        <v>70.986755750766335</v>
      </c>
    </row>
    <row r="33" spans="1:41" ht="15" thickBot="1" x14ac:dyDescent="0.35">
      <c r="A33" s="298" t="s">
        <v>522</v>
      </c>
      <c r="B33" s="298"/>
      <c r="C33" s="298"/>
      <c r="D33" s="298"/>
      <c r="E33"/>
      <c r="G33" s="319">
        <f t="shared" si="14"/>
        <v>3153600</v>
      </c>
      <c r="H33" s="290">
        <f t="shared" si="15"/>
        <v>300</v>
      </c>
      <c r="I33" s="24">
        <v>6</v>
      </c>
      <c r="J33" s="24" t="s">
        <v>400</v>
      </c>
      <c r="K33" s="24">
        <f t="shared" si="17"/>
        <v>60</v>
      </c>
      <c r="L33" s="23">
        <f t="shared" si="18"/>
        <v>54</v>
      </c>
      <c r="M33" s="292">
        <f t="shared" si="6"/>
        <v>0.1</v>
      </c>
      <c r="N33" s="411">
        <f t="shared" si="7"/>
        <v>0.04</v>
      </c>
      <c r="O33" s="23">
        <f t="shared" si="8"/>
        <v>0</v>
      </c>
      <c r="P33" s="305">
        <f t="shared" si="9"/>
        <v>3.0000000000000001E-3</v>
      </c>
      <c r="Q33" s="412">
        <f t="shared" si="19"/>
        <v>1.4000000000000002E-2</v>
      </c>
      <c r="R33" s="409">
        <f t="shared" si="11"/>
        <v>4.6154514735856003</v>
      </c>
      <c r="T33" s="427">
        <f t="shared" si="20"/>
        <v>4.6324514735856006</v>
      </c>
      <c r="U33" s="306">
        <f t="shared" ref="U33:AM33" si="25">$T$33/POWER(1+($B$11/100),U26-2024)</f>
        <v>4.4975257025102922</v>
      </c>
      <c r="V33" s="306">
        <f t="shared" si="25"/>
        <v>4.3665298082624195</v>
      </c>
      <c r="W33" s="306">
        <f t="shared" si="25"/>
        <v>4.2393493284101158</v>
      </c>
      <c r="X33" s="306">
        <f t="shared" si="25"/>
        <v>4.1158731343787531</v>
      </c>
      <c r="Y33" s="306">
        <f t="shared" si="25"/>
        <v>3.9959933343483045</v>
      </c>
      <c r="Z33" s="306">
        <f t="shared" si="25"/>
        <v>3.8796051789789363</v>
      </c>
      <c r="AA33" s="306">
        <f t="shared" si="25"/>
        <v>3.7666069698824622</v>
      </c>
      <c r="AB33" s="306">
        <f t="shared" si="25"/>
        <v>3.6568999707596723</v>
      </c>
      <c r="AC33" s="306">
        <f t="shared" si="25"/>
        <v>3.5503883211258955</v>
      </c>
      <c r="AD33" s="306">
        <f t="shared" si="25"/>
        <v>3.4469789525494132</v>
      </c>
      <c r="AE33" s="306">
        <f t="shared" si="25"/>
        <v>3.3465815073295273</v>
      </c>
      <c r="AF33" s="306">
        <f t="shared" si="25"/>
        <v>3.2491082595432306</v>
      </c>
      <c r="AG33" s="306">
        <f t="shared" si="25"/>
        <v>3.1544740383914864</v>
      </c>
      <c r="AH33" s="306">
        <f t="shared" si="25"/>
        <v>3.0625961537781419</v>
      </c>
      <c r="AI33" s="306">
        <f t="shared" si="25"/>
        <v>2.9733943240564482</v>
      </c>
      <c r="AJ33" s="306">
        <f t="shared" si="25"/>
        <v>2.886790605880047</v>
      </c>
      <c r="AK33" s="306">
        <f t="shared" si="25"/>
        <v>2.8027093260971334</v>
      </c>
      <c r="AL33" s="306">
        <f t="shared" si="25"/>
        <v>2.7210770156282846</v>
      </c>
      <c r="AM33" s="428">
        <f t="shared" si="25"/>
        <v>2.6418223452701795</v>
      </c>
      <c r="AO33" s="433">
        <f t="shared" si="13"/>
        <v>70.986755750766335</v>
      </c>
    </row>
    <row r="34" spans="1:41" ht="14.4" x14ac:dyDescent="0.3">
      <c r="A34" s="299" t="s">
        <v>419</v>
      </c>
      <c r="B34" s="300" t="s">
        <v>439</v>
      </c>
      <c r="C34" s="300" t="s">
        <v>382</v>
      </c>
      <c r="D34" s="300" t="s">
        <v>440</v>
      </c>
      <c r="E34"/>
      <c r="G34" s="319">
        <f t="shared" si="14"/>
        <v>3679200</v>
      </c>
      <c r="H34" s="290">
        <f t="shared" si="15"/>
        <v>350</v>
      </c>
      <c r="I34" s="24">
        <v>7</v>
      </c>
      <c r="J34" s="24" t="s">
        <v>400</v>
      </c>
      <c r="K34" s="24">
        <f t="shared" si="17"/>
        <v>60</v>
      </c>
      <c r="L34" s="23">
        <f t="shared" si="18"/>
        <v>54</v>
      </c>
      <c r="M34" s="292">
        <f t="shared" si="6"/>
        <v>0.1</v>
      </c>
      <c r="N34" s="411">
        <f t="shared" si="7"/>
        <v>0.04</v>
      </c>
      <c r="O34" s="23">
        <f t="shared" si="8"/>
        <v>0</v>
      </c>
      <c r="P34" s="305">
        <f t="shared" si="9"/>
        <v>3.0000000000000001E-3</v>
      </c>
      <c r="Q34" s="412">
        <f t="shared" si="19"/>
        <v>1.4000000000000002E-2</v>
      </c>
      <c r="R34" s="409">
        <f t="shared" si="11"/>
        <v>4.6154514735856003</v>
      </c>
      <c r="T34" s="427">
        <f t="shared" si="20"/>
        <v>4.6324514735856006</v>
      </c>
      <c r="U34" s="306">
        <f t="shared" ref="U34:AM34" si="26">$T$34/POWER(1+($B$11/100),U26-2024)</f>
        <v>4.4975257025102922</v>
      </c>
      <c r="V34" s="306">
        <f t="shared" si="26"/>
        <v>4.3665298082624195</v>
      </c>
      <c r="W34" s="306">
        <f t="shared" si="26"/>
        <v>4.2393493284101158</v>
      </c>
      <c r="X34" s="306">
        <f t="shared" si="26"/>
        <v>4.1158731343787531</v>
      </c>
      <c r="Y34" s="306">
        <f t="shared" si="26"/>
        <v>3.9959933343483045</v>
      </c>
      <c r="Z34" s="306">
        <f t="shared" si="26"/>
        <v>3.8796051789789363</v>
      </c>
      <c r="AA34" s="306">
        <f t="shared" si="26"/>
        <v>3.7666069698824622</v>
      </c>
      <c r="AB34" s="306">
        <f t="shared" si="26"/>
        <v>3.6568999707596723</v>
      </c>
      <c r="AC34" s="306">
        <f t="shared" si="26"/>
        <v>3.5503883211258955</v>
      </c>
      <c r="AD34" s="306">
        <f t="shared" si="26"/>
        <v>3.4469789525494132</v>
      </c>
      <c r="AE34" s="306">
        <f t="shared" si="26"/>
        <v>3.3465815073295273</v>
      </c>
      <c r="AF34" s="306">
        <f t="shared" si="26"/>
        <v>3.2491082595432306</v>
      </c>
      <c r="AG34" s="306">
        <f t="shared" si="26"/>
        <v>3.1544740383914864</v>
      </c>
      <c r="AH34" s="306">
        <f t="shared" si="26"/>
        <v>3.0625961537781419</v>
      </c>
      <c r="AI34" s="306">
        <f t="shared" si="26"/>
        <v>2.9733943240564482</v>
      </c>
      <c r="AJ34" s="306">
        <f t="shared" si="26"/>
        <v>2.886790605880047</v>
      </c>
      <c r="AK34" s="306">
        <f t="shared" si="26"/>
        <v>2.8027093260971334</v>
      </c>
      <c r="AL34" s="306">
        <f t="shared" si="26"/>
        <v>2.7210770156282846</v>
      </c>
      <c r="AM34" s="428">
        <f t="shared" si="26"/>
        <v>2.6418223452701795</v>
      </c>
      <c r="AO34" s="433">
        <f t="shared" si="13"/>
        <v>70.986755750766335</v>
      </c>
    </row>
    <row r="35" spans="1:41" ht="14.4" x14ac:dyDescent="0.3">
      <c r="A35" s="302" t="s">
        <v>422</v>
      </c>
      <c r="B35" s="44">
        <f>4.65*1000</f>
        <v>4650</v>
      </c>
      <c r="C35" s="44">
        <v>3236</v>
      </c>
      <c r="D35" s="311">
        <f>B35/C35</f>
        <v>1.4369592088998764</v>
      </c>
      <c r="E35"/>
      <c r="F35" s="312"/>
      <c r="G35" s="319">
        <f t="shared" si="14"/>
        <v>4204800</v>
      </c>
      <c r="H35" s="290">
        <f t="shared" si="15"/>
        <v>400</v>
      </c>
      <c r="I35" s="24">
        <v>8</v>
      </c>
      <c r="J35" s="24" t="s">
        <v>400</v>
      </c>
      <c r="K35" s="24">
        <f t="shared" si="17"/>
        <v>60</v>
      </c>
      <c r="L35" s="23">
        <f t="shared" si="18"/>
        <v>54</v>
      </c>
      <c r="M35" s="292">
        <f t="shared" si="6"/>
        <v>0.1</v>
      </c>
      <c r="N35" s="411">
        <f t="shared" si="7"/>
        <v>0.04</v>
      </c>
      <c r="O35" s="23">
        <f t="shared" si="8"/>
        <v>0</v>
      </c>
      <c r="P35" s="305">
        <f t="shared" si="9"/>
        <v>3.0000000000000001E-3</v>
      </c>
      <c r="Q35" s="412">
        <f t="shared" si="19"/>
        <v>1.4000000000000002E-2</v>
      </c>
      <c r="R35" s="409">
        <f t="shared" si="11"/>
        <v>4.6154514735856003</v>
      </c>
      <c r="T35" s="427">
        <f t="shared" si="20"/>
        <v>4.6324514735856006</v>
      </c>
      <c r="U35" s="306">
        <f t="shared" ref="U35:AM35" si="27">$T$35/POWER(1+($B$11/100),U26-2024)</f>
        <v>4.4975257025102922</v>
      </c>
      <c r="V35" s="306">
        <f t="shared" si="27"/>
        <v>4.3665298082624195</v>
      </c>
      <c r="W35" s="306">
        <f t="shared" si="27"/>
        <v>4.2393493284101158</v>
      </c>
      <c r="X35" s="306">
        <f t="shared" si="27"/>
        <v>4.1158731343787531</v>
      </c>
      <c r="Y35" s="306">
        <f t="shared" si="27"/>
        <v>3.9959933343483045</v>
      </c>
      <c r="Z35" s="306">
        <f t="shared" si="27"/>
        <v>3.8796051789789363</v>
      </c>
      <c r="AA35" s="306">
        <f t="shared" si="27"/>
        <v>3.7666069698824622</v>
      </c>
      <c r="AB35" s="306">
        <f t="shared" si="27"/>
        <v>3.6568999707596723</v>
      </c>
      <c r="AC35" s="306">
        <f t="shared" si="27"/>
        <v>3.5503883211258955</v>
      </c>
      <c r="AD35" s="306">
        <f t="shared" si="27"/>
        <v>3.4469789525494132</v>
      </c>
      <c r="AE35" s="306">
        <f t="shared" si="27"/>
        <v>3.3465815073295273</v>
      </c>
      <c r="AF35" s="306">
        <f t="shared" si="27"/>
        <v>3.2491082595432306</v>
      </c>
      <c r="AG35" s="306">
        <f t="shared" si="27"/>
        <v>3.1544740383914864</v>
      </c>
      <c r="AH35" s="306">
        <f t="shared" si="27"/>
        <v>3.0625961537781419</v>
      </c>
      <c r="AI35" s="306">
        <f t="shared" si="27"/>
        <v>2.9733943240564482</v>
      </c>
      <c r="AJ35" s="306">
        <f t="shared" si="27"/>
        <v>2.886790605880047</v>
      </c>
      <c r="AK35" s="306">
        <f t="shared" si="27"/>
        <v>2.8027093260971334</v>
      </c>
      <c r="AL35" s="306">
        <f t="shared" si="27"/>
        <v>2.7210770156282846</v>
      </c>
      <c r="AM35" s="428">
        <f t="shared" si="27"/>
        <v>2.6418223452701795</v>
      </c>
      <c r="AO35" s="433">
        <f t="shared" si="13"/>
        <v>70.986755750766335</v>
      </c>
    </row>
    <row r="36" spans="1:41" ht="14.4" x14ac:dyDescent="0.3">
      <c r="A36" s="302" t="s">
        <v>425</v>
      </c>
      <c r="B36" s="44">
        <f>5.9*1000</f>
        <v>5900</v>
      </c>
      <c r="C36" s="44">
        <v>630</v>
      </c>
      <c r="D36" s="311">
        <f>B36/C36</f>
        <v>9.3650793650793656</v>
      </c>
      <c r="E36"/>
      <c r="F36" s="312"/>
      <c r="G36" s="319">
        <f t="shared" si="14"/>
        <v>4730400</v>
      </c>
      <c r="H36" s="290">
        <f t="shared" si="15"/>
        <v>450</v>
      </c>
      <c r="I36" s="24">
        <v>9</v>
      </c>
      <c r="J36" s="24" t="s">
        <v>400</v>
      </c>
      <c r="K36" s="24">
        <f t="shared" si="17"/>
        <v>60</v>
      </c>
      <c r="L36" s="23">
        <f t="shared" si="18"/>
        <v>54</v>
      </c>
      <c r="M36" s="292">
        <f t="shared" si="6"/>
        <v>0.1</v>
      </c>
      <c r="N36" s="411">
        <f t="shared" si="7"/>
        <v>0.04</v>
      </c>
      <c r="O36" s="23">
        <f t="shared" si="8"/>
        <v>0</v>
      </c>
      <c r="P36" s="305">
        <f t="shared" si="9"/>
        <v>3.0000000000000001E-3</v>
      </c>
      <c r="Q36" s="412">
        <f t="shared" si="19"/>
        <v>1.4000000000000002E-2</v>
      </c>
      <c r="R36" s="409">
        <f t="shared" si="11"/>
        <v>4.6154514735856003</v>
      </c>
      <c r="T36" s="427">
        <f t="shared" si="20"/>
        <v>4.6324514735856006</v>
      </c>
      <c r="U36" s="306">
        <f t="shared" ref="U36:AM36" si="28">$T$36/POWER(1+($B$11/100),U26-2024)</f>
        <v>4.4975257025102922</v>
      </c>
      <c r="V36" s="306">
        <f t="shared" si="28"/>
        <v>4.3665298082624195</v>
      </c>
      <c r="W36" s="306">
        <f t="shared" si="28"/>
        <v>4.2393493284101158</v>
      </c>
      <c r="X36" s="306">
        <f t="shared" si="28"/>
        <v>4.1158731343787531</v>
      </c>
      <c r="Y36" s="306">
        <f t="shared" si="28"/>
        <v>3.9959933343483045</v>
      </c>
      <c r="Z36" s="306">
        <f t="shared" si="28"/>
        <v>3.8796051789789363</v>
      </c>
      <c r="AA36" s="306">
        <f t="shared" si="28"/>
        <v>3.7666069698824622</v>
      </c>
      <c r="AB36" s="306">
        <f t="shared" si="28"/>
        <v>3.6568999707596723</v>
      </c>
      <c r="AC36" s="306">
        <f t="shared" si="28"/>
        <v>3.5503883211258955</v>
      </c>
      <c r="AD36" s="306">
        <f t="shared" si="28"/>
        <v>3.4469789525494132</v>
      </c>
      <c r="AE36" s="306">
        <f t="shared" si="28"/>
        <v>3.3465815073295273</v>
      </c>
      <c r="AF36" s="306">
        <f t="shared" si="28"/>
        <v>3.2491082595432306</v>
      </c>
      <c r="AG36" s="306">
        <f t="shared" si="28"/>
        <v>3.1544740383914864</v>
      </c>
      <c r="AH36" s="306">
        <f t="shared" si="28"/>
        <v>3.0625961537781419</v>
      </c>
      <c r="AI36" s="306">
        <f t="shared" si="28"/>
        <v>2.9733943240564482</v>
      </c>
      <c r="AJ36" s="306">
        <f t="shared" si="28"/>
        <v>2.886790605880047</v>
      </c>
      <c r="AK36" s="306">
        <f t="shared" si="28"/>
        <v>2.8027093260971334</v>
      </c>
      <c r="AL36" s="306">
        <f t="shared" si="28"/>
        <v>2.7210770156282846</v>
      </c>
      <c r="AM36" s="428">
        <f t="shared" si="28"/>
        <v>2.6418223452701795</v>
      </c>
      <c r="AO36" s="433">
        <f t="shared" si="13"/>
        <v>70.986755750766335</v>
      </c>
    </row>
    <row r="37" spans="1:41" ht="14.4" x14ac:dyDescent="0.3">
      <c r="A37" s="302" t="s">
        <v>435</v>
      </c>
      <c r="B37" s="44">
        <f>6.95*1000</f>
        <v>6950</v>
      </c>
      <c r="C37" s="44">
        <v>4425</v>
      </c>
      <c r="D37" s="311">
        <f>B37/C37</f>
        <v>1.5706214689265536</v>
      </c>
      <c r="E37"/>
      <c r="F37" s="312"/>
      <c r="G37" s="319">
        <f t="shared" si="14"/>
        <v>5256000</v>
      </c>
      <c r="H37" s="290">
        <f t="shared" si="15"/>
        <v>500</v>
      </c>
      <c r="I37" s="24">
        <v>10</v>
      </c>
      <c r="J37" s="24" t="s">
        <v>400</v>
      </c>
      <c r="K37" s="24">
        <f t="shared" si="17"/>
        <v>60</v>
      </c>
      <c r="L37" s="23">
        <f t="shared" si="18"/>
        <v>54</v>
      </c>
      <c r="M37" s="292">
        <f t="shared" si="6"/>
        <v>0.1</v>
      </c>
      <c r="N37" s="411">
        <f t="shared" si="7"/>
        <v>0.04</v>
      </c>
      <c r="O37" s="23">
        <f t="shared" si="8"/>
        <v>0</v>
      </c>
      <c r="P37" s="305">
        <f>P13*$B$8</f>
        <v>3.0000000000000001E-3</v>
      </c>
      <c r="Q37" s="412">
        <f>(M37+N37)*(Q13/100)</f>
        <v>1.4000000000000002E-2</v>
      </c>
      <c r="R37" s="409">
        <f t="shared" si="11"/>
        <v>4.6154514735856003</v>
      </c>
      <c r="T37" s="427">
        <f t="shared" si="20"/>
        <v>4.6324514735856006</v>
      </c>
      <c r="U37" s="306">
        <f t="shared" ref="U37:AM37" si="29">$T$37/POWER(1+($B$11/100),U26-2024)</f>
        <v>4.4975257025102922</v>
      </c>
      <c r="V37" s="306">
        <f t="shared" si="29"/>
        <v>4.3665298082624195</v>
      </c>
      <c r="W37" s="306">
        <f t="shared" si="29"/>
        <v>4.2393493284101158</v>
      </c>
      <c r="X37" s="306">
        <f t="shared" si="29"/>
        <v>4.1158731343787531</v>
      </c>
      <c r="Y37" s="306">
        <f t="shared" si="29"/>
        <v>3.9959933343483045</v>
      </c>
      <c r="Z37" s="306">
        <f t="shared" si="29"/>
        <v>3.8796051789789363</v>
      </c>
      <c r="AA37" s="306">
        <f t="shared" si="29"/>
        <v>3.7666069698824622</v>
      </c>
      <c r="AB37" s="306">
        <f t="shared" si="29"/>
        <v>3.6568999707596723</v>
      </c>
      <c r="AC37" s="306">
        <f t="shared" si="29"/>
        <v>3.5503883211258955</v>
      </c>
      <c r="AD37" s="306">
        <f t="shared" si="29"/>
        <v>3.4469789525494132</v>
      </c>
      <c r="AE37" s="306">
        <f t="shared" si="29"/>
        <v>3.3465815073295273</v>
      </c>
      <c r="AF37" s="306">
        <f t="shared" si="29"/>
        <v>3.2491082595432306</v>
      </c>
      <c r="AG37" s="306">
        <f t="shared" si="29"/>
        <v>3.1544740383914864</v>
      </c>
      <c r="AH37" s="306">
        <f t="shared" si="29"/>
        <v>3.0625961537781419</v>
      </c>
      <c r="AI37" s="306">
        <f t="shared" si="29"/>
        <v>2.9733943240564482</v>
      </c>
      <c r="AJ37" s="306">
        <f t="shared" si="29"/>
        <v>2.886790605880047</v>
      </c>
      <c r="AK37" s="306">
        <f t="shared" si="29"/>
        <v>2.8027093260971334</v>
      </c>
      <c r="AL37" s="306">
        <f t="shared" si="29"/>
        <v>2.7210770156282846</v>
      </c>
      <c r="AM37" s="428">
        <f t="shared" si="29"/>
        <v>2.6418223452701795</v>
      </c>
      <c r="AO37" s="433">
        <f t="shared" si="13"/>
        <v>70.986755750766335</v>
      </c>
    </row>
    <row r="38" spans="1:41" ht="15" thickBot="1" x14ac:dyDescent="0.35">
      <c r="A38" s="307" t="s">
        <v>436</v>
      </c>
      <c r="B38" s="308">
        <f>4.8*1000</f>
        <v>4800</v>
      </c>
      <c r="C38" s="308">
        <v>44</v>
      </c>
      <c r="D38" s="313">
        <f>B38/C38</f>
        <v>109.09090909090909</v>
      </c>
      <c r="E38"/>
      <c r="F38" s="312"/>
      <c r="G38" s="319">
        <f t="shared" si="14"/>
        <v>5781600</v>
      </c>
      <c r="H38" s="290">
        <f t="shared" si="15"/>
        <v>550</v>
      </c>
      <c r="I38" s="24">
        <v>11</v>
      </c>
      <c r="J38" s="24" t="s">
        <v>400</v>
      </c>
      <c r="K38" s="24">
        <f t="shared" si="17"/>
        <v>60</v>
      </c>
      <c r="L38" s="23">
        <f t="shared" si="18"/>
        <v>54</v>
      </c>
      <c r="M38" s="292">
        <f t="shared" si="6"/>
        <v>0.1</v>
      </c>
      <c r="N38" s="411">
        <f t="shared" si="7"/>
        <v>0.04</v>
      </c>
      <c r="O38" s="23">
        <f t="shared" si="8"/>
        <v>0</v>
      </c>
      <c r="P38" s="305">
        <f t="shared" si="9"/>
        <v>3.0000000000000001E-3</v>
      </c>
      <c r="Q38" s="412">
        <f t="shared" si="19"/>
        <v>1.4000000000000002E-2</v>
      </c>
      <c r="R38" s="409">
        <f t="shared" si="11"/>
        <v>4.6154514735856003</v>
      </c>
      <c r="T38" s="427">
        <f t="shared" si="20"/>
        <v>4.6324514735856006</v>
      </c>
      <c r="U38" s="306">
        <f t="shared" ref="U38:AM38" si="30">$T$38/POWER(1+($B$11/100),U26-2024)</f>
        <v>4.4975257025102922</v>
      </c>
      <c r="V38" s="306">
        <f t="shared" si="30"/>
        <v>4.3665298082624195</v>
      </c>
      <c r="W38" s="306">
        <f t="shared" si="30"/>
        <v>4.2393493284101158</v>
      </c>
      <c r="X38" s="306">
        <f t="shared" si="30"/>
        <v>4.1158731343787531</v>
      </c>
      <c r="Y38" s="306">
        <f t="shared" si="30"/>
        <v>3.9959933343483045</v>
      </c>
      <c r="Z38" s="306">
        <f t="shared" si="30"/>
        <v>3.8796051789789363</v>
      </c>
      <c r="AA38" s="306">
        <f t="shared" si="30"/>
        <v>3.7666069698824622</v>
      </c>
      <c r="AB38" s="306">
        <f t="shared" si="30"/>
        <v>3.6568999707596723</v>
      </c>
      <c r="AC38" s="306">
        <f t="shared" si="30"/>
        <v>3.5503883211258955</v>
      </c>
      <c r="AD38" s="306">
        <f t="shared" si="30"/>
        <v>3.4469789525494132</v>
      </c>
      <c r="AE38" s="306">
        <f t="shared" si="30"/>
        <v>3.3465815073295273</v>
      </c>
      <c r="AF38" s="306">
        <f t="shared" si="30"/>
        <v>3.2491082595432306</v>
      </c>
      <c r="AG38" s="306">
        <f t="shared" si="30"/>
        <v>3.1544740383914864</v>
      </c>
      <c r="AH38" s="306">
        <f t="shared" si="30"/>
        <v>3.0625961537781419</v>
      </c>
      <c r="AI38" s="306">
        <f t="shared" si="30"/>
        <v>2.9733943240564482</v>
      </c>
      <c r="AJ38" s="306">
        <f t="shared" si="30"/>
        <v>2.886790605880047</v>
      </c>
      <c r="AK38" s="306">
        <f t="shared" si="30"/>
        <v>2.8027093260971334</v>
      </c>
      <c r="AL38" s="306">
        <f t="shared" si="30"/>
        <v>2.7210770156282846</v>
      </c>
      <c r="AM38" s="428">
        <f t="shared" si="30"/>
        <v>2.6418223452701795</v>
      </c>
      <c r="AO38" s="433">
        <f t="shared" si="13"/>
        <v>70.986755750766335</v>
      </c>
    </row>
    <row r="39" spans="1:41" ht="14.4" x14ac:dyDescent="0.3">
      <c r="A39" s="106"/>
      <c r="B39" s="106"/>
      <c r="C39" s="106"/>
      <c r="D39" s="106"/>
      <c r="E39"/>
      <c r="G39" s="319">
        <f t="shared" si="14"/>
        <v>6307200</v>
      </c>
      <c r="H39" s="290">
        <f t="shared" si="15"/>
        <v>600</v>
      </c>
      <c r="I39" s="24">
        <v>12</v>
      </c>
      <c r="J39" s="24" t="s">
        <v>400</v>
      </c>
      <c r="K39" s="24">
        <f t="shared" si="17"/>
        <v>60</v>
      </c>
      <c r="L39" s="23">
        <f t="shared" si="18"/>
        <v>54</v>
      </c>
      <c r="M39" s="292">
        <f t="shared" si="6"/>
        <v>0.1</v>
      </c>
      <c r="N39" s="411">
        <f t="shared" si="7"/>
        <v>0.04</v>
      </c>
      <c r="O39" s="23">
        <f t="shared" si="8"/>
        <v>0</v>
      </c>
      <c r="P39" s="305">
        <f t="shared" si="9"/>
        <v>3.0000000000000001E-3</v>
      </c>
      <c r="Q39" s="412">
        <f t="shared" si="19"/>
        <v>1.4000000000000002E-2</v>
      </c>
      <c r="R39" s="409">
        <f t="shared" si="11"/>
        <v>4.6154514735856003</v>
      </c>
      <c r="T39" s="427">
        <f t="shared" si="20"/>
        <v>4.6324514735856006</v>
      </c>
      <c r="U39" s="306">
        <f t="shared" ref="U39:AM39" si="31">$T$39/POWER(1+($B$11/100),U26-2024)</f>
        <v>4.4975257025102922</v>
      </c>
      <c r="V39" s="306">
        <f t="shared" si="31"/>
        <v>4.3665298082624195</v>
      </c>
      <c r="W39" s="306">
        <f t="shared" si="31"/>
        <v>4.2393493284101158</v>
      </c>
      <c r="X39" s="306">
        <f t="shared" si="31"/>
        <v>4.1158731343787531</v>
      </c>
      <c r="Y39" s="306">
        <f t="shared" si="31"/>
        <v>3.9959933343483045</v>
      </c>
      <c r="Z39" s="306">
        <f t="shared" si="31"/>
        <v>3.8796051789789363</v>
      </c>
      <c r="AA39" s="306">
        <f t="shared" si="31"/>
        <v>3.7666069698824622</v>
      </c>
      <c r="AB39" s="306">
        <f t="shared" si="31"/>
        <v>3.6568999707596723</v>
      </c>
      <c r="AC39" s="306">
        <f t="shared" si="31"/>
        <v>3.5503883211258955</v>
      </c>
      <c r="AD39" s="306">
        <f t="shared" si="31"/>
        <v>3.4469789525494132</v>
      </c>
      <c r="AE39" s="306">
        <f t="shared" si="31"/>
        <v>3.3465815073295273</v>
      </c>
      <c r="AF39" s="306">
        <f t="shared" si="31"/>
        <v>3.2491082595432306</v>
      </c>
      <c r="AG39" s="306">
        <f t="shared" si="31"/>
        <v>3.1544740383914864</v>
      </c>
      <c r="AH39" s="306">
        <f t="shared" si="31"/>
        <v>3.0625961537781419</v>
      </c>
      <c r="AI39" s="306">
        <f t="shared" si="31"/>
        <v>2.9733943240564482</v>
      </c>
      <c r="AJ39" s="306">
        <f t="shared" si="31"/>
        <v>2.886790605880047</v>
      </c>
      <c r="AK39" s="306">
        <f t="shared" si="31"/>
        <v>2.8027093260971334</v>
      </c>
      <c r="AL39" s="306">
        <f t="shared" si="31"/>
        <v>2.7210770156282846</v>
      </c>
      <c r="AM39" s="428">
        <f t="shared" si="31"/>
        <v>2.6418223452701795</v>
      </c>
      <c r="AO39" s="433">
        <f t="shared" si="13"/>
        <v>70.986755750766335</v>
      </c>
    </row>
    <row r="40" spans="1:41" ht="14.4" x14ac:dyDescent="0.3">
      <c r="A40" s="106"/>
      <c r="B40" s="106"/>
      <c r="C40" s="44" t="s">
        <v>437</v>
      </c>
      <c r="D40" s="310">
        <f>SUM(D35:D37)/3</f>
        <v>4.1242200143019323</v>
      </c>
      <c r="E40"/>
      <c r="F40" s="301"/>
      <c r="G40" s="319">
        <f t="shared" si="14"/>
        <v>6832800</v>
      </c>
      <c r="H40" s="290">
        <f t="shared" si="15"/>
        <v>650</v>
      </c>
      <c r="I40" s="24">
        <v>13</v>
      </c>
      <c r="J40" s="24" t="s">
        <v>400</v>
      </c>
      <c r="K40" s="24">
        <f t="shared" si="17"/>
        <v>60</v>
      </c>
      <c r="L40" s="23">
        <f t="shared" si="18"/>
        <v>54</v>
      </c>
      <c r="M40" s="292">
        <f t="shared" si="6"/>
        <v>0.1</v>
      </c>
      <c r="N40" s="411">
        <f t="shared" si="7"/>
        <v>0.04</v>
      </c>
      <c r="O40" s="23">
        <f t="shared" si="8"/>
        <v>0</v>
      </c>
      <c r="P40" s="305">
        <f t="shared" si="9"/>
        <v>3.0000000000000001E-3</v>
      </c>
      <c r="Q40" s="412">
        <f t="shared" si="19"/>
        <v>1.4000000000000002E-2</v>
      </c>
      <c r="R40" s="409">
        <f t="shared" si="11"/>
        <v>4.6154514735856003</v>
      </c>
      <c r="T40" s="427">
        <f t="shared" si="20"/>
        <v>4.6324514735856006</v>
      </c>
      <c r="U40" s="306">
        <f t="shared" ref="U40:AM40" si="32">$T$40/POWER(1+($B$11/100),U26-2024)</f>
        <v>4.4975257025102922</v>
      </c>
      <c r="V40" s="306">
        <f t="shared" si="32"/>
        <v>4.3665298082624195</v>
      </c>
      <c r="W40" s="306">
        <f t="shared" si="32"/>
        <v>4.2393493284101158</v>
      </c>
      <c r="X40" s="306">
        <f t="shared" si="32"/>
        <v>4.1158731343787531</v>
      </c>
      <c r="Y40" s="306">
        <f t="shared" si="32"/>
        <v>3.9959933343483045</v>
      </c>
      <c r="Z40" s="306">
        <f t="shared" si="32"/>
        <v>3.8796051789789363</v>
      </c>
      <c r="AA40" s="306">
        <f t="shared" si="32"/>
        <v>3.7666069698824622</v>
      </c>
      <c r="AB40" s="306">
        <f t="shared" si="32"/>
        <v>3.6568999707596723</v>
      </c>
      <c r="AC40" s="306">
        <f t="shared" si="32"/>
        <v>3.5503883211258955</v>
      </c>
      <c r="AD40" s="306">
        <f t="shared" si="32"/>
        <v>3.4469789525494132</v>
      </c>
      <c r="AE40" s="306">
        <f t="shared" si="32"/>
        <v>3.3465815073295273</v>
      </c>
      <c r="AF40" s="306">
        <f t="shared" si="32"/>
        <v>3.2491082595432306</v>
      </c>
      <c r="AG40" s="306">
        <f t="shared" si="32"/>
        <v>3.1544740383914864</v>
      </c>
      <c r="AH40" s="306">
        <f t="shared" si="32"/>
        <v>3.0625961537781419</v>
      </c>
      <c r="AI40" s="306">
        <f t="shared" si="32"/>
        <v>2.9733943240564482</v>
      </c>
      <c r="AJ40" s="306">
        <f t="shared" si="32"/>
        <v>2.886790605880047</v>
      </c>
      <c r="AK40" s="306">
        <f t="shared" si="32"/>
        <v>2.8027093260971334</v>
      </c>
      <c r="AL40" s="306">
        <f t="shared" si="32"/>
        <v>2.7210770156282846</v>
      </c>
      <c r="AM40" s="428">
        <f t="shared" si="32"/>
        <v>2.6418223452701795</v>
      </c>
      <c r="AO40" s="433">
        <f t="shared" si="13"/>
        <v>70.986755750766335</v>
      </c>
    </row>
    <row r="41" spans="1:41" ht="14.4" x14ac:dyDescent="0.3">
      <c r="A41" s="106"/>
      <c r="B41" s="106"/>
      <c r="C41" s="44" t="s">
        <v>438</v>
      </c>
      <c r="D41" s="310">
        <f>D38</f>
        <v>109.09090909090909</v>
      </c>
      <c r="E41"/>
      <c r="G41" s="319">
        <f t="shared" si="14"/>
        <v>7358400</v>
      </c>
      <c r="H41" s="290">
        <f t="shared" si="15"/>
        <v>700</v>
      </c>
      <c r="I41" s="24">
        <v>14</v>
      </c>
      <c r="J41" s="24" t="s">
        <v>400</v>
      </c>
      <c r="K41" s="24">
        <f t="shared" si="17"/>
        <v>60</v>
      </c>
      <c r="L41" s="23">
        <f t="shared" si="18"/>
        <v>54</v>
      </c>
      <c r="M41" s="292">
        <f t="shared" si="6"/>
        <v>0.1</v>
      </c>
      <c r="N41" s="411">
        <f t="shared" si="7"/>
        <v>0.04</v>
      </c>
      <c r="O41" s="23">
        <f t="shared" si="8"/>
        <v>0</v>
      </c>
      <c r="P41" s="305">
        <f t="shared" si="9"/>
        <v>3.0000000000000001E-3</v>
      </c>
      <c r="Q41" s="412">
        <f t="shared" si="19"/>
        <v>1.4000000000000002E-2</v>
      </c>
      <c r="R41" s="409">
        <f t="shared" si="11"/>
        <v>4.6154514735856003</v>
      </c>
      <c r="T41" s="427">
        <f t="shared" si="20"/>
        <v>4.6324514735856006</v>
      </c>
      <c r="U41" s="306">
        <f t="shared" ref="U41:AM41" si="33">$T$41/POWER(1+($B$11/100),U26-2024)</f>
        <v>4.4975257025102922</v>
      </c>
      <c r="V41" s="306">
        <f t="shared" si="33"/>
        <v>4.3665298082624195</v>
      </c>
      <c r="W41" s="306">
        <f t="shared" si="33"/>
        <v>4.2393493284101158</v>
      </c>
      <c r="X41" s="306">
        <f t="shared" si="33"/>
        <v>4.1158731343787531</v>
      </c>
      <c r="Y41" s="306">
        <f t="shared" si="33"/>
        <v>3.9959933343483045</v>
      </c>
      <c r="Z41" s="306">
        <f t="shared" si="33"/>
        <v>3.8796051789789363</v>
      </c>
      <c r="AA41" s="306">
        <f t="shared" si="33"/>
        <v>3.7666069698824622</v>
      </c>
      <c r="AB41" s="306">
        <f t="shared" si="33"/>
        <v>3.6568999707596723</v>
      </c>
      <c r="AC41" s="306">
        <f t="shared" si="33"/>
        <v>3.5503883211258955</v>
      </c>
      <c r="AD41" s="306">
        <f t="shared" si="33"/>
        <v>3.4469789525494132</v>
      </c>
      <c r="AE41" s="306">
        <f t="shared" si="33"/>
        <v>3.3465815073295273</v>
      </c>
      <c r="AF41" s="306">
        <f t="shared" si="33"/>
        <v>3.2491082595432306</v>
      </c>
      <c r="AG41" s="306">
        <f t="shared" si="33"/>
        <v>3.1544740383914864</v>
      </c>
      <c r="AH41" s="306">
        <f t="shared" si="33"/>
        <v>3.0625961537781419</v>
      </c>
      <c r="AI41" s="306">
        <f t="shared" si="33"/>
        <v>2.9733943240564482</v>
      </c>
      <c r="AJ41" s="306">
        <f t="shared" si="33"/>
        <v>2.886790605880047</v>
      </c>
      <c r="AK41" s="306">
        <f t="shared" si="33"/>
        <v>2.8027093260971334</v>
      </c>
      <c r="AL41" s="306">
        <f t="shared" si="33"/>
        <v>2.7210770156282846</v>
      </c>
      <c r="AM41" s="428">
        <f t="shared" si="33"/>
        <v>2.6418223452701795</v>
      </c>
      <c r="AO41" s="433">
        <f t="shared" si="13"/>
        <v>70.986755750766335</v>
      </c>
    </row>
    <row r="42" spans="1:41" ht="14.4" x14ac:dyDescent="0.3">
      <c r="A42" s="106"/>
      <c r="B42" s="106"/>
      <c r="C42" s="106"/>
      <c r="D42" s="106"/>
      <c r="E42"/>
      <c r="G42" s="319">
        <f t="shared" si="14"/>
        <v>7884000</v>
      </c>
      <c r="H42" s="290">
        <f t="shared" si="15"/>
        <v>750</v>
      </c>
      <c r="I42" s="24">
        <v>15</v>
      </c>
      <c r="J42" s="24" t="s">
        <v>400</v>
      </c>
      <c r="K42" s="24">
        <f t="shared" si="17"/>
        <v>60</v>
      </c>
      <c r="L42" s="23">
        <f t="shared" si="18"/>
        <v>54</v>
      </c>
      <c r="M42" s="292">
        <f t="shared" si="6"/>
        <v>0.1</v>
      </c>
      <c r="N42" s="411">
        <f t="shared" si="7"/>
        <v>0.04</v>
      </c>
      <c r="O42" s="23">
        <f t="shared" si="8"/>
        <v>0</v>
      </c>
      <c r="P42" s="305">
        <f t="shared" si="9"/>
        <v>3.0000000000000001E-3</v>
      </c>
      <c r="Q42" s="412">
        <f t="shared" si="19"/>
        <v>1.4000000000000002E-2</v>
      </c>
      <c r="R42" s="409">
        <f t="shared" si="11"/>
        <v>4.6154514735856003</v>
      </c>
      <c r="T42" s="427">
        <f t="shared" si="20"/>
        <v>4.6324514735856006</v>
      </c>
      <c r="U42" s="306">
        <f t="shared" ref="U42:AM42" si="34">$T$42/POWER(1+($B$11/100),U26-2024)</f>
        <v>4.4975257025102922</v>
      </c>
      <c r="V42" s="306">
        <f t="shared" si="34"/>
        <v>4.3665298082624195</v>
      </c>
      <c r="W42" s="306">
        <f t="shared" si="34"/>
        <v>4.2393493284101158</v>
      </c>
      <c r="X42" s="306">
        <f t="shared" si="34"/>
        <v>4.1158731343787531</v>
      </c>
      <c r="Y42" s="306">
        <f t="shared" si="34"/>
        <v>3.9959933343483045</v>
      </c>
      <c r="Z42" s="306">
        <f t="shared" si="34"/>
        <v>3.8796051789789363</v>
      </c>
      <c r="AA42" s="306">
        <f t="shared" si="34"/>
        <v>3.7666069698824622</v>
      </c>
      <c r="AB42" s="306">
        <f t="shared" si="34"/>
        <v>3.6568999707596723</v>
      </c>
      <c r="AC42" s="306">
        <f t="shared" si="34"/>
        <v>3.5503883211258955</v>
      </c>
      <c r="AD42" s="306">
        <f t="shared" si="34"/>
        <v>3.4469789525494132</v>
      </c>
      <c r="AE42" s="306">
        <f t="shared" si="34"/>
        <v>3.3465815073295273</v>
      </c>
      <c r="AF42" s="306">
        <f t="shared" si="34"/>
        <v>3.2491082595432306</v>
      </c>
      <c r="AG42" s="306">
        <f t="shared" si="34"/>
        <v>3.1544740383914864</v>
      </c>
      <c r="AH42" s="306">
        <f t="shared" si="34"/>
        <v>3.0625961537781419</v>
      </c>
      <c r="AI42" s="306">
        <f t="shared" si="34"/>
        <v>2.9733943240564482</v>
      </c>
      <c r="AJ42" s="306">
        <f t="shared" si="34"/>
        <v>2.886790605880047</v>
      </c>
      <c r="AK42" s="306">
        <f t="shared" si="34"/>
        <v>2.8027093260971334</v>
      </c>
      <c r="AL42" s="306">
        <f t="shared" si="34"/>
        <v>2.7210770156282846</v>
      </c>
      <c r="AM42" s="428">
        <f t="shared" si="34"/>
        <v>2.6418223452701795</v>
      </c>
      <c r="AO42" s="433">
        <f t="shared" si="13"/>
        <v>70.986755750766335</v>
      </c>
    </row>
    <row r="43" spans="1:41" ht="15" thickBot="1" x14ac:dyDescent="0.35">
      <c r="A43" s="298" t="s">
        <v>521</v>
      </c>
      <c r="B43" s="298"/>
      <c r="C43" s="298"/>
      <c r="D43" s="298"/>
      <c r="E43"/>
      <c r="G43" s="319">
        <f t="shared" si="14"/>
        <v>8409600</v>
      </c>
      <c r="H43" s="290">
        <f t="shared" si="15"/>
        <v>800</v>
      </c>
      <c r="I43" s="24">
        <v>16</v>
      </c>
      <c r="J43" s="24" t="s">
        <v>400</v>
      </c>
      <c r="K43" s="24">
        <f t="shared" si="17"/>
        <v>60</v>
      </c>
      <c r="L43" s="23">
        <f t="shared" si="18"/>
        <v>54</v>
      </c>
      <c r="M43" s="292">
        <f t="shared" si="6"/>
        <v>0.1</v>
      </c>
      <c r="N43" s="411">
        <f t="shared" si="7"/>
        <v>0.04</v>
      </c>
      <c r="O43" s="23">
        <f t="shared" si="8"/>
        <v>0</v>
      </c>
      <c r="P43" s="305">
        <f t="shared" si="9"/>
        <v>3.0000000000000001E-3</v>
      </c>
      <c r="Q43" s="412">
        <f t="shared" si="19"/>
        <v>1.4000000000000002E-2</v>
      </c>
      <c r="R43" s="409">
        <f t="shared" si="11"/>
        <v>4.6154514735856003</v>
      </c>
      <c r="T43" s="427">
        <f t="shared" si="20"/>
        <v>4.6324514735856006</v>
      </c>
      <c r="U43" s="306">
        <f t="shared" ref="U43:AM43" si="35">$T$43/POWER(1+($B$11/100),U26-2024)</f>
        <v>4.4975257025102922</v>
      </c>
      <c r="V43" s="306">
        <f t="shared" si="35"/>
        <v>4.3665298082624195</v>
      </c>
      <c r="W43" s="306">
        <f t="shared" si="35"/>
        <v>4.2393493284101158</v>
      </c>
      <c r="X43" s="306">
        <f t="shared" si="35"/>
        <v>4.1158731343787531</v>
      </c>
      <c r="Y43" s="306">
        <f t="shared" si="35"/>
        <v>3.9959933343483045</v>
      </c>
      <c r="Z43" s="306">
        <f t="shared" si="35"/>
        <v>3.8796051789789363</v>
      </c>
      <c r="AA43" s="306">
        <f t="shared" si="35"/>
        <v>3.7666069698824622</v>
      </c>
      <c r="AB43" s="306">
        <f t="shared" si="35"/>
        <v>3.6568999707596723</v>
      </c>
      <c r="AC43" s="306">
        <f t="shared" si="35"/>
        <v>3.5503883211258955</v>
      </c>
      <c r="AD43" s="306">
        <f t="shared" si="35"/>
        <v>3.4469789525494132</v>
      </c>
      <c r="AE43" s="306">
        <f t="shared" si="35"/>
        <v>3.3465815073295273</v>
      </c>
      <c r="AF43" s="306">
        <f t="shared" si="35"/>
        <v>3.2491082595432306</v>
      </c>
      <c r="AG43" s="306">
        <f t="shared" si="35"/>
        <v>3.1544740383914864</v>
      </c>
      <c r="AH43" s="306">
        <f t="shared" si="35"/>
        <v>3.0625961537781419</v>
      </c>
      <c r="AI43" s="306">
        <f t="shared" si="35"/>
        <v>2.9733943240564482</v>
      </c>
      <c r="AJ43" s="306">
        <f t="shared" si="35"/>
        <v>2.886790605880047</v>
      </c>
      <c r="AK43" s="306">
        <f t="shared" si="35"/>
        <v>2.8027093260971334</v>
      </c>
      <c r="AL43" s="306">
        <f t="shared" si="35"/>
        <v>2.7210770156282846</v>
      </c>
      <c r="AM43" s="428">
        <f t="shared" si="35"/>
        <v>2.6418223452701795</v>
      </c>
      <c r="AO43" s="433">
        <f t="shared" si="13"/>
        <v>70.986755750766335</v>
      </c>
    </row>
    <row r="44" spans="1:41" ht="14.4" x14ac:dyDescent="0.3">
      <c r="A44" s="299" t="s">
        <v>419</v>
      </c>
      <c r="B44" s="300" t="s">
        <v>381</v>
      </c>
      <c r="C44" s="300" t="s">
        <v>382</v>
      </c>
      <c r="D44" s="300" t="s">
        <v>441</v>
      </c>
      <c r="E44"/>
      <c r="G44" s="319">
        <f t="shared" si="14"/>
        <v>8935200</v>
      </c>
      <c r="H44" s="290">
        <f t="shared" si="15"/>
        <v>850</v>
      </c>
      <c r="I44" s="24">
        <v>17</v>
      </c>
      <c r="J44" s="24" t="s">
        <v>400</v>
      </c>
      <c r="K44" s="24">
        <f t="shared" si="17"/>
        <v>60</v>
      </c>
      <c r="L44" s="23">
        <f t="shared" si="18"/>
        <v>54</v>
      </c>
      <c r="M44" s="292">
        <f t="shared" si="6"/>
        <v>0.1</v>
      </c>
      <c r="N44" s="411">
        <f t="shared" si="7"/>
        <v>0.04</v>
      </c>
      <c r="O44" s="23">
        <f t="shared" si="8"/>
        <v>0</v>
      </c>
      <c r="P44" s="305">
        <f t="shared" si="9"/>
        <v>3.0000000000000001E-3</v>
      </c>
      <c r="Q44" s="412">
        <f t="shared" si="19"/>
        <v>1.4000000000000002E-2</v>
      </c>
      <c r="R44" s="409">
        <f t="shared" si="11"/>
        <v>4.6154514735856003</v>
      </c>
      <c r="T44" s="427">
        <f t="shared" si="20"/>
        <v>4.6324514735856006</v>
      </c>
      <c r="U44" s="306">
        <f t="shared" ref="U44:AM44" si="36">$T$44/POWER(1+($B$11/100),U26-2024)</f>
        <v>4.4975257025102922</v>
      </c>
      <c r="V44" s="306">
        <f t="shared" si="36"/>
        <v>4.3665298082624195</v>
      </c>
      <c r="W44" s="306">
        <f t="shared" si="36"/>
        <v>4.2393493284101158</v>
      </c>
      <c r="X44" s="306">
        <f t="shared" si="36"/>
        <v>4.1158731343787531</v>
      </c>
      <c r="Y44" s="306">
        <f t="shared" si="36"/>
        <v>3.9959933343483045</v>
      </c>
      <c r="Z44" s="306">
        <f t="shared" si="36"/>
        <v>3.8796051789789363</v>
      </c>
      <c r="AA44" s="306">
        <f t="shared" si="36"/>
        <v>3.7666069698824622</v>
      </c>
      <c r="AB44" s="306">
        <f t="shared" si="36"/>
        <v>3.6568999707596723</v>
      </c>
      <c r="AC44" s="306">
        <f t="shared" si="36"/>
        <v>3.5503883211258955</v>
      </c>
      <c r="AD44" s="306">
        <f t="shared" si="36"/>
        <v>3.4469789525494132</v>
      </c>
      <c r="AE44" s="306">
        <f t="shared" si="36"/>
        <v>3.3465815073295273</v>
      </c>
      <c r="AF44" s="306">
        <f t="shared" si="36"/>
        <v>3.2491082595432306</v>
      </c>
      <c r="AG44" s="306">
        <f t="shared" si="36"/>
        <v>3.1544740383914864</v>
      </c>
      <c r="AH44" s="306">
        <f t="shared" si="36"/>
        <v>3.0625961537781419</v>
      </c>
      <c r="AI44" s="306">
        <f t="shared" si="36"/>
        <v>2.9733943240564482</v>
      </c>
      <c r="AJ44" s="306">
        <f t="shared" si="36"/>
        <v>2.886790605880047</v>
      </c>
      <c r="AK44" s="306">
        <f t="shared" si="36"/>
        <v>2.8027093260971334</v>
      </c>
      <c r="AL44" s="306">
        <f t="shared" si="36"/>
        <v>2.7210770156282846</v>
      </c>
      <c r="AM44" s="428">
        <f t="shared" si="36"/>
        <v>2.6418223452701795</v>
      </c>
      <c r="AO44" s="433">
        <f t="shared" si="13"/>
        <v>70.986755750766335</v>
      </c>
    </row>
    <row r="45" spans="1:41" ht="14.4" x14ac:dyDescent="0.3">
      <c r="A45" s="302" t="s">
        <v>422</v>
      </c>
      <c r="B45" s="44">
        <v>1200</v>
      </c>
      <c r="C45" s="44">
        <v>3236</v>
      </c>
      <c r="D45" s="311">
        <f>B45/C45</f>
        <v>0.37082818294190356</v>
      </c>
      <c r="E45"/>
      <c r="G45" s="319">
        <f t="shared" si="14"/>
        <v>9460800</v>
      </c>
      <c r="H45" s="290">
        <f t="shared" si="15"/>
        <v>900</v>
      </c>
      <c r="I45" s="24">
        <v>18</v>
      </c>
      <c r="J45" s="24" t="s">
        <v>400</v>
      </c>
      <c r="K45" s="24">
        <f t="shared" si="17"/>
        <v>60</v>
      </c>
      <c r="L45" s="23">
        <f t="shared" si="18"/>
        <v>54</v>
      </c>
      <c r="M45" s="292">
        <f t="shared" si="6"/>
        <v>0.1</v>
      </c>
      <c r="N45" s="411">
        <f t="shared" si="7"/>
        <v>0.04</v>
      </c>
      <c r="O45" s="23">
        <f t="shared" si="8"/>
        <v>0</v>
      </c>
      <c r="P45" s="305">
        <f t="shared" si="9"/>
        <v>3.0000000000000001E-3</v>
      </c>
      <c r="Q45" s="412">
        <f t="shared" si="19"/>
        <v>1.4000000000000002E-2</v>
      </c>
      <c r="R45" s="409">
        <f t="shared" si="11"/>
        <v>4.6154514735856003</v>
      </c>
      <c r="T45" s="427">
        <f t="shared" si="20"/>
        <v>4.6324514735856006</v>
      </c>
      <c r="U45" s="306">
        <f t="shared" ref="U45:AM45" si="37">$T$45/POWER(1+($B$11/100),U26-2024)</f>
        <v>4.4975257025102922</v>
      </c>
      <c r="V45" s="306">
        <f t="shared" si="37"/>
        <v>4.3665298082624195</v>
      </c>
      <c r="W45" s="306">
        <f t="shared" si="37"/>
        <v>4.2393493284101158</v>
      </c>
      <c r="X45" s="306">
        <f t="shared" si="37"/>
        <v>4.1158731343787531</v>
      </c>
      <c r="Y45" s="306">
        <f t="shared" si="37"/>
        <v>3.9959933343483045</v>
      </c>
      <c r="Z45" s="306">
        <f t="shared" si="37"/>
        <v>3.8796051789789363</v>
      </c>
      <c r="AA45" s="306">
        <f t="shared" si="37"/>
        <v>3.7666069698824622</v>
      </c>
      <c r="AB45" s="306">
        <f t="shared" si="37"/>
        <v>3.6568999707596723</v>
      </c>
      <c r="AC45" s="306">
        <f t="shared" si="37"/>
        <v>3.5503883211258955</v>
      </c>
      <c r="AD45" s="306">
        <f t="shared" si="37"/>
        <v>3.4469789525494132</v>
      </c>
      <c r="AE45" s="306">
        <f t="shared" si="37"/>
        <v>3.3465815073295273</v>
      </c>
      <c r="AF45" s="306">
        <f t="shared" si="37"/>
        <v>3.2491082595432306</v>
      </c>
      <c r="AG45" s="306">
        <f t="shared" si="37"/>
        <v>3.1544740383914864</v>
      </c>
      <c r="AH45" s="306">
        <f t="shared" si="37"/>
        <v>3.0625961537781419</v>
      </c>
      <c r="AI45" s="306">
        <f t="shared" si="37"/>
        <v>2.9733943240564482</v>
      </c>
      <c r="AJ45" s="306">
        <f t="shared" si="37"/>
        <v>2.886790605880047</v>
      </c>
      <c r="AK45" s="306">
        <f t="shared" si="37"/>
        <v>2.8027093260971334</v>
      </c>
      <c r="AL45" s="306">
        <f t="shared" si="37"/>
        <v>2.7210770156282846</v>
      </c>
      <c r="AM45" s="428">
        <f t="shared" si="37"/>
        <v>2.6418223452701795</v>
      </c>
      <c r="AO45" s="433">
        <f t="shared" si="13"/>
        <v>70.986755750766335</v>
      </c>
    </row>
    <row r="46" spans="1:41" ht="14.4" x14ac:dyDescent="0.3">
      <c r="A46" s="302" t="s">
        <v>425</v>
      </c>
      <c r="B46" s="44">
        <v>528</v>
      </c>
      <c r="C46" s="44">
        <v>630</v>
      </c>
      <c r="D46" s="311">
        <f>B46/C46</f>
        <v>0.83809523809523812</v>
      </c>
      <c r="E46"/>
      <c r="G46" s="319">
        <f t="shared" si="14"/>
        <v>9986400</v>
      </c>
      <c r="H46" s="290">
        <f t="shared" si="15"/>
        <v>950</v>
      </c>
      <c r="I46" s="24">
        <v>19</v>
      </c>
      <c r="J46" s="24" t="s">
        <v>400</v>
      </c>
      <c r="K46" s="24">
        <f t="shared" si="17"/>
        <v>60</v>
      </c>
      <c r="L46" s="23">
        <f t="shared" si="18"/>
        <v>54</v>
      </c>
      <c r="M46" s="292">
        <f t="shared" si="6"/>
        <v>0.1</v>
      </c>
      <c r="N46" s="411">
        <f t="shared" si="7"/>
        <v>0.04</v>
      </c>
      <c r="O46" s="23">
        <f t="shared" si="8"/>
        <v>0</v>
      </c>
      <c r="P46" s="305">
        <f t="shared" si="9"/>
        <v>3.0000000000000001E-3</v>
      </c>
      <c r="Q46" s="412">
        <f t="shared" si="19"/>
        <v>1.4000000000000002E-2</v>
      </c>
      <c r="R46" s="409">
        <f t="shared" si="11"/>
        <v>4.6154514735856003</v>
      </c>
      <c r="T46" s="427">
        <f t="shared" si="20"/>
        <v>4.6324514735856006</v>
      </c>
      <c r="U46" s="306">
        <f t="shared" ref="U46:AM46" si="38">$T$46/POWER(1+($B$11/100),U26-2024)</f>
        <v>4.4975257025102922</v>
      </c>
      <c r="V46" s="306">
        <f t="shared" si="38"/>
        <v>4.3665298082624195</v>
      </c>
      <c r="W46" s="306">
        <f t="shared" si="38"/>
        <v>4.2393493284101158</v>
      </c>
      <c r="X46" s="306">
        <f t="shared" si="38"/>
        <v>4.1158731343787531</v>
      </c>
      <c r="Y46" s="306">
        <f t="shared" si="38"/>
        <v>3.9959933343483045</v>
      </c>
      <c r="Z46" s="306">
        <f t="shared" si="38"/>
        <v>3.8796051789789363</v>
      </c>
      <c r="AA46" s="306">
        <f t="shared" si="38"/>
        <v>3.7666069698824622</v>
      </c>
      <c r="AB46" s="306">
        <f t="shared" si="38"/>
        <v>3.6568999707596723</v>
      </c>
      <c r="AC46" s="306">
        <f t="shared" si="38"/>
        <v>3.5503883211258955</v>
      </c>
      <c r="AD46" s="306">
        <f t="shared" si="38"/>
        <v>3.4469789525494132</v>
      </c>
      <c r="AE46" s="306">
        <f t="shared" si="38"/>
        <v>3.3465815073295273</v>
      </c>
      <c r="AF46" s="306">
        <f t="shared" si="38"/>
        <v>3.2491082595432306</v>
      </c>
      <c r="AG46" s="306">
        <f t="shared" si="38"/>
        <v>3.1544740383914864</v>
      </c>
      <c r="AH46" s="306">
        <f t="shared" si="38"/>
        <v>3.0625961537781419</v>
      </c>
      <c r="AI46" s="306">
        <f t="shared" si="38"/>
        <v>2.9733943240564482</v>
      </c>
      <c r="AJ46" s="306">
        <f t="shared" si="38"/>
        <v>2.886790605880047</v>
      </c>
      <c r="AK46" s="306">
        <f t="shared" si="38"/>
        <v>2.8027093260971334</v>
      </c>
      <c r="AL46" s="306">
        <f t="shared" si="38"/>
        <v>2.7210770156282846</v>
      </c>
      <c r="AM46" s="428">
        <f t="shared" si="38"/>
        <v>2.6418223452701795</v>
      </c>
      <c r="AO46" s="433">
        <f t="shared" si="13"/>
        <v>70.986755750766335</v>
      </c>
    </row>
    <row r="47" spans="1:41" ht="15" thickBot="1" x14ac:dyDescent="0.35">
      <c r="A47" s="302" t="s">
        <v>518</v>
      </c>
      <c r="B47" s="44">
        <v>11000</v>
      </c>
      <c r="C47" s="44">
        <v>4425</v>
      </c>
      <c r="D47" s="311">
        <f>((B47)*0.1)/C47</f>
        <v>0.24858757062146894</v>
      </c>
      <c r="E47"/>
      <c r="G47" s="331">
        <f t="shared" si="14"/>
        <v>10512000</v>
      </c>
      <c r="H47" s="321">
        <f t="shared" si="15"/>
        <v>1000</v>
      </c>
      <c r="I47" s="322">
        <v>20</v>
      </c>
      <c r="J47" s="322" t="s">
        <v>400</v>
      </c>
      <c r="K47" s="322">
        <f t="shared" si="17"/>
        <v>60</v>
      </c>
      <c r="L47" s="420">
        <f t="shared" si="18"/>
        <v>54</v>
      </c>
      <c r="M47" s="419">
        <f t="shared" si="6"/>
        <v>0.1</v>
      </c>
      <c r="N47" s="421">
        <f t="shared" si="7"/>
        <v>0.04</v>
      </c>
      <c r="O47" s="420">
        <f t="shared" si="8"/>
        <v>0</v>
      </c>
      <c r="P47" s="422">
        <f t="shared" si="9"/>
        <v>3.0000000000000001E-3</v>
      </c>
      <c r="Q47" s="423">
        <f t="shared" si="19"/>
        <v>1.4000000000000002E-2</v>
      </c>
      <c r="R47" s="410">
        <f t="shared" si="11"/>
        <v>4.6154514735856003</v>
      </c>
      <c r="T47" s="429">
        <f t="shared" si="20"/>
        <v>4.6324514735856006</v>
      </c>
      <c r="U47" s="430">
        <f t="shared" ref="U47:AM47" si="39">$T$47/POWER(1+($B$11/100),U26-2024)</f>
        <v>4.4975257025102922</v>
      </c>
      <c r="V47" s="430">
        <f t="shared" si="39"/>
        <v>4.3665298082624195</v>
      </c>
      <c r="W47" s="430">
        <f t="shared" si="39"/>
        <v>4.2393493284101158</v>
      </c>
      <c r="X47" s="430">
        <f t="shared" si="39"/>
        <v>4.1158731343787531</v>
      </c>
      <c r="Y47" s="430">
        <f t="shared" si="39"/>
        <v>3.9959933343483045</v>
      </c>
      <c r="Z47" s="430">
        <f t="shared" si="39"/>
        <v>3.8796051789789363</v>
      </c>
      <c r="AA47" s="430">
        <f t="shared" si="39"/>
        <v>3.7666069698824622</v>
      </c>
      <c r="AB47" s="430">
        <f t="shared" si="39"/>
        <v>3.6568999707596723</v>
      </c>
      <c r="AC47" s="430">
        <f t="shared" si="39"/>
        <v>3.5503883211258955</v>
      </c>
      <c r="AD47" s="430">
        <f t="shared" si="39"/>
        <v>3.4469789525494132</v>
      </c>
      <c r="AE47" s="430">
        <f t="shared" si="39"/>
        <v>3.3465815073295273</v>
      </c>
      <c r="AF47" s="430">
        <f t="shared" si="39"/>
        <v>3.2491082595432306</v>
      </c>
      <c r="AG47" s="430">
        <f t="shared" si="39"/>
        <v>3.1544740383914864</v>
      </c>
      <c r="AH47" s="430">
        <f t="shared" si="39"/>
        <v>3.0625961537781419</v>
      </c>
      <c r="AI47" s="430">
        <f t="shared" si="39"/>
        <v>2.9733943240564482</v>
      </c>
      <c r="AJ47" s="430">
        <f t="shared" si="39"/>
        <v>2.886790605880047</v>
      </c>
      <c r="AK47" s="430">
        <f t="shared" si="39"/>
        <v>2.8027093260971334</v>
      </c>
      <c r="AL47" s="430">
        <f t="shared" si="39"/>
        <v>2.7210770156282846</v>
      </c>
      <c r="AM47" s="431">
        <f t="shared" si="39"/>
        <v>2.6418223452701795</v>
      </c>
      <c r="AO47" s="434">
        <f t="shared" si="13"/>
        <v>70.986755750766335</v>
      </c>
    </row>
    <row r="48" spans="1:41" ht="15" thickBot="1" x14ac:dyDescent="0.35">
      <c r="A48" s="307" t="s">
        <v>436</v>
      </c>
      <c r="B48" s="308">
        <v>2000</v>
      </c>
      <c r="C48" s="308">
        <v>44</v>
      </c>
      <c r="D48" s="313">
        <f>B48/C48</f>
        <v>45.454545454545453</v>
      </c>
      <c r="E48"/>
      <c r="Q48" s="2"/>
    </row>
    <row r="49" spans="1:30" ht="15" customHeight="1" thickBot="1" x14ac:dyDescent="0.35">
      <c r="A49" s="106" t="s">
        <v>519</v>
      </c>
      <c r="B49" s="106"/>
      <c r="C49" s="106"/>
      <c r="D49" s="106"/>
      <c r="E49"/>
      <c r="G49" s="107" t="s">
        <v>442</v>
      </c>
      <c r="H49" s="107"/>
      <c r="I49" s="107"/>
      <c r="J49" s="107"/>
      <c r="K49" s="107"/>
      <c r="L49" s="107"/>
      <c r="M49" s="107"/>
      <c r="N49" s="107"/>
      <c r="O49" s="107"/>
      <c r="P49" s="107"/>
      <c r="Q49" s="2"/>
    </row>
    <row r="50" spans="1:30" ht="14.4" x14ac:dyDescent="0.3">
      <c r="A50" s="106"/>
      <c r="B50" s="106"/>
      <c r="C50" s="44" t="s">
        <v>437</v>
      </c>
      <c r="D50" s="310">
        <f>SUM(D45:D47)/3</f>
        <v>0.48583699721953683</v>
      </c>
      <c r="E50"/>
      <c r="G50" s="314" t="s">
        <v>372</v>
      </c>
      <c r="H50" s="315" t="s">
        <v>389</v>
      </c>
      <c r="I50" s="315" t="s">
        <v>390</v>
      </c>
      <c r="J50" s="315" t="s">
        <v>345</v>
      </c>
      <c r="K50" s="364" t="s">
        <v>443</v>
      </c>
      <c r="L50" s="364" t="s">
        <v>444</v>
      </c>
      <c r="M50" s="315" t="s">
        <v>445</v>
      </c>
      <c r="N50" s="315" t="s">
        <v>446</v>
      </c>
      <c r="O50" s="315" t="s">
        <v>515</v>
      </c>
      <c r="P50" s="315" t="s">
        <v>516</v>
      </c>
      <c r="Q50" s="316" t="s">
        <v>449</v>
      </c>
    </row>
    <row r="51" spans="1:30" ht="14.4" x14ac:dyDescent="0.3">
      <c r="A51" s="106"/>
      <c r="B51" s="106"/>
      <c r="C51" s="44" t="s">
        <v>438</v>
      </c>
      <c r="D51" s="310">
        <f>D48</f>
        <v>45.454545454545453</v>
      </c>
      <c r="E51"/>
      <c r="G51" s="319">
        <f>G3</f>
        <v>0</v>
      </c>
      <c r="H51" s="24">
        <v>0</v>
      </c>
      <c r="I51" s="24">
        <v>0</v>
      </c>
      <c r="J51" s="24" t="s">
        <v>400</v>
      </c>
      <c r="K51" s="317">
        <v>0</v>
      </c>
      <c r="L51" s="317">
        <v>0</v>
      </c>
      <c r="M51" s="317">
        <v>0</v>
      </c>
      <c r="N51" s="317">
        <v>0</v>
      </c>
      <c r="O51" s="317">
        <v>0</v>
      </c>
      <c r="P51" s="317">
        <v>0</v>
      </c>
      <c r="Q51" s="413">
        <v>0</v>
      </c>
    </row>
    <row r="52" spans="1:30" x14ac:dyDescent="0.25">
      <c r="F52" s="25"/>
      <c r="G52" s="319">
        <f t="shared" ref="G52:G71" si="40">G4</f>
        <v>525600</v>
      </c>
      <c r="H52" s="290">
        <f t="shared" ref="H52:H71" si="41">H4</f>
        <v>50</v>
      </c>
      <c r="I52" s="24">
        <v>1</v>
      </c>
      <c r="J52" s="24" t="s">
        <v>400</v>
      </c>
      <c r="K52" s="28">
        <f>SUM(L52, M52)</f>
        <v>714.49073938580511</v>
      </c>
      <c r="L52" s="28">
        <f>SUM(K28:O28,AO28)</f>
        <v>714.49073938580511</v>
      </c>
      <c r="M52" s="291">
        <v>0</v>
      </c>
      <c r="N52" s="290">
        <f>SUM(O52:P52)</f>
        <v>1359.3811632150021</v>
      </c>
      <c r="O52" s="317">
        <f>IFERROR(L52/G52,0)*1000000</f>
        <v>1359.3811632150021</v>
      </c>
      <c r="P52" s="317">
        <f>IFERROR(M52/G52,0)*1000000</f>
        <v>0</v>
      </c>
      <c r="Q52" s="318">
        <f t="shared" ref="Q52:Q71" si="42">IFERROR((K52-K51)/(G52-G51),0)*1000000</f>
        <v>1359.3811632150021</v>
      </c>
      <c r="S52" s="25"/>
    </row>
    <row r="53" spans="1:30" x14ac:dyDescent="0.25">
      <c r="A53" s="107" t="s">
        <v>450</v>
      </c>
      <c r="G53" s="319">
        <f t="shared" si="40"/>
        <v>1051200</v>
      </c>
      <c r="H53" s="290">
        <f t="shared" si="41"/>
        <v>100</v>
      </c>
      <c r="I53" s="24">
        <v>2</v>
      </c>
      <c r="J53" s="24" t="s">
        <v>400</v>
      </c>
      <c r="K53" s="28">
        <f>SUM(L53, M53)</f>
        <v>899.47749513657141</v>
      </c>
      <c r="L53" s="28">
        <f>$L$52</f>
        <v>714.49073938580511</v>
      </c>
      <c r="M53" s="291">
        <f>M52+SUM(K29:L29,AO29)</f>
        <v>184.98675575076635</v>
      </c>
      <c r="N53" s="290">
        <f t="shared" ref="N53:N71" si="43">SUM(O53:P53)</f>
        <v>855.66732794574909</v>
      </c>
      <c r="O53" s="317">
        <f t="shared" ref="O53:O71" si="44">IFERROR(L53/G53,0)*1000000</f>
        <v>679.69058160750103</v>
      </c>
      <c r="P53" s="317">
        <f t="shared" ref="P53:P71" si="45">IFERROR(M53/G53,0)*1000000</f>
        <v>175.97674633824803</v>
      </c>
      <c r="Q53" s="318">
        <f t="shared" si="42"/>
        <v>351.95349267649596</v>
      </c>
      <c r="S53" s="25"/>
    </row>
    <row r="54" spans="1:30" x14ac:dyDescent="0.25">
      <c r="A54" s="107" t="s">
        <v>451</v>
      </c>
      <c r="G54" s="319">
        <f t="shared" si="40"/>
        <v>1576800</v>
      </c>
      <c r="H54" s="290">
        <f t="shared" si="41"/>
        <v>150</v>
      </c>
      <c r="I54" s="24">
        <v>3</v>
      </c>
      <c r="J54" s="24" t="s">
        <v>400</v>
      </c>
      <c r="K54" s="28">
        <f t="shared" ref="K54:K71" si="46">SUM(L54, M54)</f>
        <v>1084.4642508873378</v>
      </c>
      <c r="L54" s="28">
        <f t="shared" ref="L54:L71" si="47">$L$52</f>
        <v>714.49073938580511</v>
      </c>
      <c r="M54" s="291">
        <f t="shared" ref="M54:M71" si="48">M53+SUM(K30:L30,AO30)</f>
        <v>369.9735115015327</v>
      </c>
      <c r="N54" s="290">
        <f t="shared" si="43"/>
        <v>687.7627161893314</v>
      </c>
      <c r="O54" s="317">
        <f t="shared" si="44"/>
        <v>453.12705440500071</v>
      </c>
      <c r="P54" s="317">
        <f t="shared" si="45"/>
        <v>234.63566178433072</v>
      </c>
      <c r="Q54" s="318">
        <f t="shared" si="42"/>
        <v>351.95349267649618</v>
      </c>
      <c r="S54" s="25"/>
    </row>
    <row r="55" spans="1:30" x14ac:dyDescent="0.25">
      <c r="A55" s="107" t="s">
        <v>452</v>
      </c>
      <c r="G55" s="319">
        <f t="shared" si="40"/>
        <v>2102400</v>
      </c>
      <c r="H55" s="290">
        <f t="shared" si="41"/>
        <v>200</v>
      </c>
      <c r="I55" s="24">
        <v>4</v>
      </c>
      <c r="J55" s="24" t="s">
        <v>400</v>
      </c>
      <c r="K55" s="28">
        <f t="shared" si="46"/>
        <v>1269.451006638104</v>
      </c>
      <c r="L55" s="28">
        <f t="shared" si="47"/>
        <v>714.49073938580511</v>
      </c>
      <c r="M55" s="291">
        <f t="shared" si="48"/>
        <v>554.96026725229899</v>
      </c>
      <c r="N55" s="290">
        <f t="shared" si="43"/>
        <v>603.8104103111225</v>
      </c>
      <c r="O55" s="317">
        <f t="shared" si="44"/>
        <v>339.84529080375052</v>
      </c>
      <c r="P55" s="317">
        <f t="shared" si="45"/>
        <v>263.96511950737204</v>
      </c>
      <c r="Q55" s="318">
        <f t="shared" si="42"/>
        <v>351.95349267649573</v>
      </c>
      <c r="S55" s="25"/>
    </row>
    <row r="56" spans="1:30" x14ac:dyDescent="0.25">
      <c r="A56" s="107" t="s">
        <v>453</v>
      </c>
      <c r="G56" s="319">
        <f t="shared" si="40"/>
        <v>2628000</v>
      </c>
      <c r="H56" s="290">
        <f t="shared" si="41"/>
        <v>250</v>
      </c>
      <c r="I56" s="24">
        <v>5</v>
      </c>
      <c r="J56" s="24" t="s">
        <v>400</v>
      </c>
      <c r="K56" s="28">
        <f t="shared" si="46"/>
        <v>1454.4377623888704</v>
      </c>
      <c r="L56" s="28">
        <f t="shared" si="47"/>
        <v>714.49073938580511</v>
      </c>
      <c r="M56" s="291">
        <f t="shared" si="48"/>
        <v>739.9470230030654</v>
      </c>
      <c r="N56" s="290">
        <f t="shared" si="43"/>
        <v>553.43902678419727</v>
      </c>
      <c r="O56" s="317">
        <f t="shared" si="44"/>
        <v>271.87623264300038</v>
      </c>
      <c r="P56" s="317">
        <f t="shared" si="45"/>
        <v>281.56279414119689</v>
      </c>
      <c r="Q56" s="318">
        <f t="shared" si="42"/>
        <v>351.95349267649618</v>
      </c>
      <c r="S56" s="25"/>
    </row>
    <row r="57" spans="1:30" ht="14.4" x14ac:dyDescent="0.3">
      <c r="G57" s="319">
        <f t="shared" si="40"/>
        <v>3153600</v>
      </c>
      <c r="H57" s="290">
        <f t="shared" si="41"/>
        <v>300</v>
      </c>
      <c r="I57" s="24">
        <v>6</v>
      </c>
      <c r="J57" s="24" t="s">
        <v>400</v>
      </c>
      <c r="K57" s="28">
        <f t="shared" si="46"/>
        <v>1639.4245181396368</v>
      </c>
      <c r="L57" s="28">
        <f t="shared" si="47"/>
        <v>714.49073938580511</v>
      </c>
      <c r="M57" s="291">
        <f t="shared" si="48"/>
        <v>924.9337787538318</v>
      </c>
      <c r="N57" s="290">
        <f t="shared" si="43"/>
        <v>519.85810443291382</v>
      </c>
      <c r="O57" s="317">
        <f t="shared" si="44"/>
        <v>226.56352720250035</v>
      </c>
      <c r="P57" s="317">
        <f t="shared" si="45"/>
        <v>293.29457723041344</v>
      </c>
      <c r="Q57" s="318">
        <f t="shared" si="42"/>
        <v>351.95349267649618</v>
      </c>
      <c r="S57" s="25"/>
      <c r="Y57" s="153"/>
      <c r="Z57" s="153"/>
      <c r="AA57" s="153"/>
      <c r="AB57" s="153"/>
      <c r="AC57" s="22"/>
      <c r="AD57" s="2"/>
    </row>
    <row r="58" spans="1:30" x14ac:dyDescent="0.25">
      <c r="G58" s="319">
        <f t="shared" si="40"/>
        <v>3679200</v>
      </c>
      <c r="H58" s="290">
        <f t="shared" si="41"/>
        <v>350</v>
      </c>
      <c r="I58" s="24">
        <v>7</v>
      </c>
      <c r="J58" s="24" t="s">
        <v>400</v>
      </c>
      <c r="K58" s="28">
        <f t="shared" si="46"/>
        <v>1824.4112738904032</v>
      </c>
      <c r="L58" s="28">
        <f t="shared" si="47"/>
        <v>714.49073938580511</v>
      </c>
      <c r="M58" s="291">
        <f t="shared" si="48"/>
        <v>1109.9205345045982</v>
      </c>
      <c r="N58" s="290">
        <f t="shared" si="43"/>
        <v>495.87173132485407</v>
      </c>
      <c r="O58" s="317">
        <f t="shared" si="44"/>
        <v>194.19730903071456</v>
      </c>
      <c r="P58" s="317">
        <f t="shared" si="45"/>
        <v>301.6744222941395</v>
      </c>
      <c r="Q58" s="318">
        <f t="shared" si="42"/>
        <v>351.95349267649618</v>
      </c>
      <c r="S58" s="25"/>
      <c r="Y58" s="25"/>
      <c r="Z58" s="320"/>
      <c r="AA58" s="25"/>
      <c r="AB58" s="301"/>
      <c r="AC58" s="22"/>
      <c r="AD58" s="2"/>
    </row>
    <row r="59" spans="1:30" x14ac:dyDescent="0.25">
      <c r="G59" s="319">
        <f t="shared" si="40"/>
        <v>4204800</v>
      </c>
      <c r="H59" s="290">
        <f t="shared" si="41"/>
        <v>400</v>
      </c>
      <c r="I59" s="24">
        <v>8</v>
      </c>
      <c r="J59" s="24" t="s">
        <v>400</v>
      </c>
      <c r="K59" s="28">
        <f t="shared" si="46"/>
        <v>2009.3980296411696</v>
      </c>
      <c r="L59" s="28">
        <f t="shared" si="47"/>
        <v>714.49073938580511</v>
      </c>
      <c r="M59" s="291">
        <f t="shared" si="48"/>
        <v>1294.9072902553646</v>
      </c>
      <c r="N59" s="290">
        <f t="shared" si="43"/>
        <v>477.88195149380942</v>
      </c>
      <c r="O59" s="317">
        <f t="shared" si="44"/>
        <v>169.92264540187526</v>
      </c>
      <c r="P59" s="317">
        <f t="shared" si="45"/>
        <v>307.95930609193414</v>
      </c>
      <c r="Q59" s="318">
        <f t="shared" si="42"/>
        <v>351.95349267649618</v>
      </c>
      <c r="S59" s="25"/>
      <c r="Y59" s="25"/>
      <c r="Z59" s="320"/>
      <c r="AA59" s="25"/>
      <c r="AB59" s="301"/>
      <c r="AC59" s="22"/>
      <c r="AD59" s="2"/>
    </row>
    <row r="60" spans="1:30" x14ac:dyDescent="0.25">
      <c r="G60" s="319">
        <f t="shared" si="40"/>
        <v>4730400</v>
      </c>
      <c r="H60" s="290">
        <f t="shared" si="41"/>
        <v>450</v>
      </c>
      <c r="I60" s="24">
        <v>9</v>
      </c>
      <c r="J60" s="24" t="s">
        <v>400</v>
      </c>
      <c r="K60" s="28">
        <f t="shared" si="46"/>
        <v>2194.384785391936</v>
      </c>
      <c r="L60" s="28">
        <f t="shared" si="47"/>
        <v>714.49073938580511</v>
      </c>
      <c r="M60" s="291">
        <f t="shared" si="48"/>
        <v>1479.894046006131</v>
      </c>
      <c r="N60" s="290">
        <f t="shared" si="43"/>
        <v>463.88990051410792</v>
      </c>
      <c r="O60" s="317">
        <f t="shared" si="44"/>
        <v>151.04235146833358</v>
      </c>
      <c r="P60" s="317">
        <f t="shared" si="45"/>
        <v>312.84754904577431</v>
      </c>
      <c r="Q60" s="318">
        <f t="shared" si="42"/>
        <v>351.95349267649618</v>
      </c>
      <c r="S60" s="25"/>
      <c r="Y60" s="25"/>
      <c r="Z60" s="320"/>
      <c r="AA60" s="25"/>
      <c r="AB60" s="301"/>
      <c r="AC60" s="22"/>
      <c r="AD60" s="2"/>
    </row>
    <row r="61" spans="1:30" x14ac:dyDescent="0.25">
      <c r="G61" s="319">
        <f t="shared" si="40"/>
        <v>5256000</v>
      </c>
      <c r="H61" s="290">
        <f t="shared" si="41"/>
        <v>500</v>
      </c>
      <c r="I61" s="24">
        <v>10</v>
      </c>
      <c r="J61" s="24" t="s">
        <v>400</v>
      </c>
      <c r="K61" s="28">
        <f t="shared" si="46"/>
        <v>2379.3715411427024</v>
      </c>
      <c r="L61" s="28">
        <f t="shared" si="47"/>
        <v>714.49073938580511</v>
      </c>
      <c r="M61" s="291">
        <f t="shared" si="48"/>
        <v>1664.8808017568974</v>
      </c>
      <c r="N61" s="290">
        <f t="shared" si="43"/>
        <v>452.6962597303467</v>
      </c>
      <c r="O61" s="317">
        <f t="shared" si="44"/>
        <v>135.93811632150019</v>
      </c>
      <c r="P61" s="317">
        <f t="shared" si="45"/>
        <v>316.75814340884654</v>
      </c>
      <c r="Q61" s="318">
        <f t="shared" si="42"/>
        <v>351.95349267649618</v>
      </c>
      <c r="S61" s="25"/>
      <c r="Y61" s="25"/>
      <c r="Z61" s="320"/>
      <c r="AA61" s="25"/>
      <c r="AB61" s="301"/>
      <c r="AC61" s="22"/>
      <c r="AD61" s="2"/>
    </row>
    <row r="62" spans="1:30" x14ac:dyDescent="0.25">
      <c r="G62" s="319">
        <f t="shared" si="40"/>
        <v>5781600</v>
      </c>
      <c r="H62" s="290">
        <f t="shared" si="41"/>
        <v>550</v>
      </c>
      <c r="I62" s="24">
        <v>11</v>
      </c>
      <c r="J62" s="24" t="s">
        <v>400</v>
      </c>
      <c r="K62" s="28">
        <f t="shared" si="46"/>
        <v>2564.3582968934688</v>
      </c>
      <c r="L62" s="28">
        <f t="shared" si="47"/>
        <v>714.49073938580511</v>
      </c>
      <c r="M62" s="291">
        <f t="shared" si="48"/>
        <v>1849.8675575076638</v>
      </c>
      <c r="N62" s="290">
        <f t="shared" si="43"/>
        <v>443.53782636181489</v>
      </c>
      <c r="O62" s="317">
        <f t="shared" si="44"/>
        <v>123.58010574681838</v>
      </c>
      <c r="P62" s="317">
        <f t="shared" si="45"/>
        <v>319.9577206149965</v>
      </c>
      <c r="Q62" s="318">
        <f t="shared" si="42"/>
        <v>351.95349267649618</v>
      </c>
      <c r="S62" s="25"/>
      <c r="Y62" s="25"/>
      <c r="Z62" s="320"/>
      <c r="AA62" s="25"/>
      <c r="AB62" s="301"/>
      <c r="AC62" s="22"/>
      <c r="AD62" s="2"/>
    </row>
    <row r="63" spans="1:30" x14ac:dyDescent="0.25">
      <c r="G63" s="319">
        <f t="shared" si="40"/>
        <v>6307200</v>
      </c>
      <c r="H63" s="290">
        <f t="shared" si="41"/>
        <v>600</v>
      </c>
      <c r="I63" s="24">
        <v>12</v>
      </c>
      <c r="J63" s="24" t="s">
        <v>400</v>
      </c>
      <c r="K63" s="28">
        <f>SUM(L63, M63)</f>
        <v>2749.3450526442352</v>
      </c>
      <c r="L63" s="28">
        <f t="shared" si="47"/>
        <v>714.49073938580511</v>
      </c>
      <c r="M63" s="291">
        <f t="shared" si="48"/>
        <v>2034.8543132584302</v>
      </c>
      <c r="N63" s="290">
        <f t="shared" si="43"/>
        <v>435.90579855470503</v>
      </c>
      <c r="O63" s="317">
        <f t="shared" si="44"/>
        <v>113.28176360125018</v>
      </c>
      <c r="P63" s="317">
        <f t="shared" si="45"/>
        <v>322.62403495345484</v>
      </c>
      <c r="Q63" s="318">
        <f t="shared" si="42"/>
        <v>351.95349267649618</v>
      </c>
      <c r="S63" s="25"/>
      <c r="Y63" s="25"/>
      <c r="Z63" s="320"/>
      <c r="AA63" s="25"/>
      <c r="AB63" s="301"/>
      <c r="AC63" s="22"/>
      <c r="AD63" s="2"/>
    </row>
    <row r="64" spans="1:30" x14ac:dyDescent="0.25">
      <c r="G64" s="319">
        <f t="shared" si="40"/>
        <v>6832800</v>
      </c>
      <c r="H64" s="290">
        <f t="shared" si="41"/>
        <v>650</v>
      </c>
      <c r="I64" s="24">
        <v>13</v>
      </c>
      <c r="J64" s="24" t="s">
        <v>400</v>
      </c>
      <c r="K64" s="28">
        <f t="shared" si="46"/>
        <v>2934.3318083950016</v>
      </c>
      <c r="L64" s="28">
        <f t="shared" si="47"/>
        <v>714.49073938580511</v>
      </c>
      <c r="M64" s="291">
        <f t="shared" si="48"/>
        <v>2219.8410690091964</v>
      </c>
      <c r="N64" s="290">
        <f t="shared" si="43"/>
        <v>429.44792887176584</v>
      </c>
      <c r="O64" s="317">
        <f t="shared" si="44"/>
        <v>104.5677817857694</v>
      </c>
      <c r="P64" s="317">
        <f t="shared" si="45"/>
        <v>324.88014708599644</v>
      </c>
      <c r="Q64" s="318">
        <f t="shared" si="42"/>
        <v>351.95349267649618</v>
      </c>
      <c r="S64" s="25"/>
      <c r="Y64" s="25"/>
      <c r="Z64" s="320"/>
      <c r="AA64" s="25"/>
      <c r="AB64" s="301"/>
      <c r="AC64" s="22"/>
      <c r="AD64" s="2"/>
    </row>
    <row r="65" spans="1:30" x14ac:dyDescent="0.25">
      <c r="G65" s="319">
        <f t="shared" si="40"/>
        <v>7358400</v>
      </c>
      <c r="H65" s="290">
        <f t="shared" si="41"/>
        <v>700</v>
      </c>
      <c r="I65" s="24">
        <v>14</v>
      </c>
      <c r="J65" s="24" t="s">
        <v>400</v>
      </c>
      <c r="K65" s="28">
        <f t="shared" si="46"/>
        <v>3119.3185641457681</v>
      </c>
      <c r="L65" s="28">
        <f t="shared" si="47"/>
        <v>714.49073938580511</v>
      </c>
      <c r="M65" s="291">
        <f t="shared" si="48"/>
        <v>2404.8278247599628</v>
      </c>
      <c r="N65" s="290">
        <f t="shared" si="43"/>
        <v>423.9126120006751</v>
      </c>
      <c r="O65" s="317">
        <f t="shared" si="44"/>
        <v>97.098654515357282</v>
      </c>
      <c r="P65" s="317">
        <f t="shared" si="45"/>
        <v>326.81395748531781</v>
      </c>
      <c r="Q65" s="318">
        <f t="shared" si="42"/>
        <v>351.95349267649618</v>
      </c>
      <c r="S65" s="25"/>
      <c r="Y65" s="25"/>
      <c r="Z65" s="320"/>
      <c r="AA65" s="25"/>
      <c r="AB65" s="301"/>
      <c r="AC65" s="22"/>
      <c r="AD65" s="2"/>
    </row>
    <row r="66" spans="1:30" x14ac:dyDescent="0.25">
      <c r="A66" s="2"/>
      <c r="G66" s="319">
        <f t="shared" si="40"/>
        <v>7884000</v>
      </c>
      <c r="H66" s="290">
        <f t="shared" si="41"/>
        <v>750</v>
      </c>
      <c r="I66" s="24">
        <v>15</v>
      </c>
      <c r="J66" s="24" t="s">
        <v>400</v>
      </c>
      <c r="K66" s="28">
        <f t="shared" si="46"/>
        <v>3304.3053198965345</v>
      </c>
      <c r="L66" s="28">
        <f t="shared" si="47"/>
        <v>714.49073938580511</v>
      </c>
      <c r="M66" s="291">
        <f t="shared" si="48"/>
        <v>2589.8145805107292</v>
      </c>
      <c r="N66" s="290">
        <f t="shared" si="43"/>
        <v>419.11533737906325</v>
      </c>
      <c r="O66" s="317">
        <f t="shared" si="44"/>
        <v>90.62541088100015</v>
      </c>
      <c r="P66" s="317">
        <f t="shared" si="45"/>
        <v>328.48992649806308</v>
      </c>
      <c r="Q66" s="318">
        <f t="shared" si="42"/>
        <v>351.95349267649618</v>
      </c>
      <c r="S66" s="25"/>
      <c r="Y66" s="25"/>
      <c r="Z66" s="320"/>
      <c r="AA66" s="25"/>
      <c r="AB66" s="301"/>
      <c r="AC66" s="22"/>
      <c r="AD66" s="2"/>
    </row>
    <row r="67" spans="1:30" x14ac:dyDescent="0.25">
      <c r="A67" s="2"/>
      <c r="G67" s="319">
        <f t="shared" si="40"/>
        <v>8409600</v>
      </c>
      <c r="H67" s="290">
        <f t="shared" si="41"/>
        <v>800</v>
      </c>
      <c r="I67" s="24">
        <v>16</v>
      </c>
      <c r="J67" s="24" t="s">
        <v>400</v>
      </c>
      <c r="K67" s="28">
        <f t="shared" si="46"/>
        <v>3489.2920756473009</v>
      </c>
      <c r="L67" s="28">
        <f t="shared" si="47"/>
        <v>714.49073938580511</v>
      </c>
      <c r="M67" s="291">
        <f t="shared" si="48"/>
        <v>2774.8013362614956</v>
      </c>
      <c r="N67" s="290">
        <f t="shared" si="43"/>
        <v>414.91772208515277</v>
      </c>
      <c r="O67" s="317">
        <f t="shared" si="44"/>
        <v>84.961322700937629</v>
      </c>
      <c r="P67" s="317">
        <f t="shared" si="45"/>
        <v>329.95639938421516</v>
      </c>
      <c r="Q67" s="318">
        <f t="shared" si="42"/>
        <v>351.95349267649618</v>
      </c>
      <c r="S67" s="25"/>
      <c r="Y67" s="25"/>
      <c r="Z67" s="320"/>
      <c r="AA67" s="25"/>
      <c r="AB67" s="301"/>
      <c r="AC67" s="22"/>
      <c r="AD67" s="2"/>
    </row>
    <row r="68" spans="1:30" x14ac:dyDescent="0.25">
      <c r="A68" s="2"/>
      <c r="G68" s="319">
        <f t="shared" si="40"/>
        <v>8935200</v>
      </c>
      <c r="H68" s="290">
        <f t="shared" si="41"/>
        <v>850</v>
      </c>
      <c r="I68" s="24">
        <v>17</v>
      </c>
      <c r="J68" s="24" t="s">
        <v>400</v>
      </c>
      <c r="K68" s="28">
        <f t="shared" si="46"/>
        <v>3674.2788313980673</v>
      </c>
      <c r="L68" s="28">
        <f t="shared" si="47"/>
        <v>714.49073938580511</v>
      </c>
      <c r="M68" s="291">
        <f t="shared" si="48"/>
        <v>2959.788092012262</v>
      </c>
      <c r="N68" s="290">
        <f t="shared" si="43"/>
        <v>411.21394388464353</v>
      </c>
      <c r="O68" s="317">
        <f t="shared" si="44"/>
        <v>79.963597836176589</v>
      </c>
      <c r="P68" s="317">
        <f t="shared" si="45"/>
        <v>331.25034604846695</v>
      </c>
      <c r="Q68" s="318">
        <f t="shared" si="42"/>
        <v>351.95349267649618</v>
      </c>
      <c r="S68" s="25"/>
      <c r="Y68" s="25"/>
      <c r="Z68" s="320"/>
      <c r="AA68" s="25"/>
      <c r="AB68" s="301"/>
      <c r="AC68" s="22"/>
      <c r="AD68" s="2"/>
    </row>
    <row r="69" spans="1:30" x14ac:dyDescent="0.25">
      <c r="A69" s="2"/>
      <c r="G69" s="319">
        <f t="shared" si="40"/>
        <v>9460800</v>
      </c>
      <c r="H69" s="290">
        <f t="shared" si="41"/>
        <v>900</v>
      </c>
      <c r="I69" s="24">
        <v>18</v>
      </c>
      <c r="J69" s="24" t="s">
        <v>400</v>
      </c>
      <c r="K69" s="28">
        <f t="shared" si="46"/>
        <v>3859.2655871488337</v>
      </c>
      <c r="L69" s="28">
        <f t="shared" si="47"/>
        <v>714.49073938580511</v>
      </c>
      <c r="M69" s="291">
        <f t="shared" si="48"/>
        <v>3144.7748477630284</v>
      </c>
      <c r="N69" s="290">
        <f t="shared" si="43"/>
        <v>407.92169659530202</v>
      </c>
      <c r="O69" s="317">
        <f t="shared" si="44"/>
        <v>75.521175734166789</v>
      </c>
      <c r="P69" s="317">
        <f t="shared" si="45"/>
        <v>332.40052086113525</v>
      </c>
      <c r="Q69" s="318">
        <f t="shared" si="42"/>
        <v>351.95349267649618</v>
      </c>
      <c r="S69" s="25"/>
    </row>
    <row r="70" spans="1:30" x14ac:dyDescent="0.25">
      <c r="G70" s="319">
        <f t="shared" si="40"/>
        <v>9986400</v>
      </c>
      <c r="H70" s="290">
        <f t="shared" si="41"/>
        <v>950</v>
      </c>
      <c r="I70" s="24">
        <v>19</v>
      </c>
      <c r="J70" s="24" t="s">
        <v>400</v>
      </c>
      <c r="K70" s="28">
        <f t="shared" si="46"/>
        <v>4044.2523428996001</v>
      </c>
      <c r="L70" s="28">
        <f t="shared" si="47"/>
        <v>714.49073938580511</v>
      </c>
      <c r="M70" s="291">
        <f t="shared" si="48"/>
        <v>3329.7616035137949</v>
      </c>
      <c r="N70" s="290">
        <f t="shared" si="43"/>
        <v>404.97600165220695</v>
      </c>
      <c r="O70" s="317">
        <f t="shared" si="44"/>
        <v>71.546377011315911</v>
      </c>
      <c r="P70" s="317">
        <f t="shared" si="45"/>
        <v>333.42962464089106</v>
      </c>
      <c r="Q70" s="318">
        <f t="shared" si="42"/>
        <v>351.95349267649618</v>
      </c>
      <c r="S70" s="25"/>
    </row>
    <row r="71" spans="1:30" ht="14.4" thickBot="1" x14ac:dyDescent="0.3">
      <c r="G71" s="331">
        <f t="shared" si="40"/>
        <v>10512000</v>
      </c>
      <c r="H71" s="321">
        <f t="shared" si="41"/>
        <v>1000</v>
      </c>
      <c r="I71" s="322">
        <v>20</v>
      </c>
      <c r="J71" s="322" t="s">
        <v>400</v>
      </c>
      <c r="K71" s="323">
        <f t="shared" si="46"/>
        <v>4229.239098650366</v>
      </c>
      <c r="L71" s="323">
        <f t="shared" si="47"/>
        <v>714.49073938580511</v>
      </c>
      <c r="M71" s="324">
        <f t="shared" si="48"/>
        <v>3514.7483592645613</v>
      </c>
      <c r="N71" s="321">
        <f t="shared" si="43"/>
        <v>402.32487620342141</v>
      </c>
      <c r="O71" s="325">
        <f t="shared" si="44"/>
        <v>67.969058160750095</v>
      </c>
      <c r="P71" s="325">
        <f t="shared" si="45"/>
        <v>334.35581804267133</v>
      </c>
      <c r="Q71" s="326">
        <f t="shared" si="42"/>
        <v>351.95349267649539</v>
      </c>
      <c r="S71" s="25"/>
    </row>
    <row r="72" spans="1:30" x14ac:dyDescent="0.25">
      <c r="K72" s="301">
        <f>K71/G71</f>
        <v>4.0232487620342142E-4</v>
      </c>
    </row>
    <row r="74" spans="1:30" ht="14.4" thickBot="1" x14ac:dyDescent="0.3">
      <c r="G74" s="521" t="s">
        <v>461</v>
      </c>
      <c r="H74" s="521"/>
      <c r="I74" s="521"/>
      <c r="J74" s="521"/>
      <c r="K74" s="521"/>
      <c r="L74" s="521"/>
      <c r="M74" s="521"/>
      <c r="N74" s="521"/>
      <c r="O74" s="521"/>
      <c r="P74" s="521"/>
      <c r="Q74" s="521"/>
      <c r="R74" s="521"/>
    </row>
    <row r="75" spans="1:30" x14ac:dyDescent="0.25">
      <c r="G75" s="314" t="s">
        <v>372</v>
      </c>
      <c r="H75" s="315" t="s">
        <v>389</v>
      </c>
      <c r="I75" s="315" t="s">
        <v>390</v>
      </c>
      <c r="J75" s="315" t="s">
        <v>345</v>
      </c>
      <c r="K75" s="315" t="s">
        <v>454</v>
      </c>
      <c r="L75" s="315" t="s">
        <v>455</v>
      </c>
      <c r="M75" s="315" t="s">
        <v>393</v>
      </c>
      <c r="N75" s="364" t="s">
        <v>456</v>
      </c>
      <c r="O75" s="364" t="s">
        <v>457</v>
      </c>
      <c r="P75" s="315" t="s">
        <v>458</v>
      </c>
      <c r="Q75" s="414" t="s">
        <v>397</v>
      </c>
      <c r="R75" s="316" t="s">
        <v>381</v>
      </c>
    </row>
    <row r="76" spans="1:30" x14ac:dyDescent="0.25">
      <c r="G76" s="415">
        <v>0</v>
      </c>
      <c r="H76" s="24">
        <v>0</v>
      </c>
      <c r="I76" s="24">
        <v>0</v>
      </c>
      <c r="J76" s="24" t="s">
        <v>436</v>
      </c>
      <c r="K76" s="24">
        <v>0</v>
      </c>
      <c r="L76" s="24">
        <v>0</v>
      </c>
      <c r="M76" s="24">
        <v>0</v>
      </c>
      <c r="N76" s="24">
        <v>0</v>
      </c>
      <c r="O76" s="24">
        <v>0</v>
      </c>
      <c r="P76" s="24">
        <v>0</v>
      </c>
      <c r="Q76" s="290">
        <v>0</v>
      </c>
      <c r="R76" s="416">
        <v>0</v>
      </c>
    </row>
    <row r="77" spans="1:30" x14ac:dyDescent="0.25">
      <c r="G77" s="319">
        <v>525600</v>
      </c>
      <c r="H77" s="24">
        <v>3</v>
      </c>
      <c r="I77" s="24">
        <v>1</v>
      </c>
      <c r="J77" s="24" t="s">
        <v>436</v>
      </c>
      <c r="K77" s="24">
        <f>H77-K76</f>
        <v>3</v>
      </c>
      <c r="L77" s="24">
        <f t="shared" ref="L77:L84" si="49">K77</f>
        <v>3</v>
      </c>
      <c r="M77" s="24">
        <v>3</v>
      </c>
      <c r="N77" s="23">
        <f>M77*10</f>
        <v>30</v>
      </c>
      <c r="O77" s="23">
        <v>50</v>
      </c>
      <c r="P77" s="23">
        <f>1</f>
        <v>1</v>
      </c>
      <c r="Q77" s="290">
        <f>$C$9</f>
        <v>10</v>
      </c>
      <c r="R77" s="318">
        <v>150</v>
      </c>
    </row>
    <row r="78" spans="1:30" x14ac:dyDescent="0.25">
      <c r="G78" s="417">
        <f t="shared" ref="G78:G84" si="50">$G$77+G77</f>
        <v>1051200</v>
      </c>
      <c r="H78" s="24">
        <v>4</v>
      </c>
      <c r="I78" s="24">
        <v>2</v>
      </c>
      <c r="J78" s="24" t="s">
        <v>436</v>
      </c>
      <c r="K78" s="24">
        <f>H78-K77</f>
        <v>1</v>
      </c>
      <c r="L78" s="24">
        <f t="shared" si="49"/>
        <v>1</v>
      </c>
      <c r="M78" s="292">
        <v>0</v>
      </c>
      <c r="N78" s="23">
        <f t="shared" ref="N78:N84" si="51">M78*10</f>
        <v>0</v>
      </c>
      <c r="O78" s="23">
        <v>0</v>
      </c>
      <c r="P78" s="23">
        <v>0</v>
      </c>
      <c r="Q78" s="290">
        <f t="shared" ref="Q78:Q83" si="52">(M78*$C$5)+(N78*$C$6)*($C$9/100)</f>
        <v>0</v>
      </c>
      <c r="R78" s="318">
        <f>(H78-H77)*$D$51</f>
        <v>45.454545454545453</v>
      </c>
    </row>
    <row r="79" spans="1:30" x14ac:dyDescent="0.25">
      <c r="G79" s="417">
        <f t="shared" si="50"/>
        <v>1576800</v>
      </c>
      <c r="H79" s="24">
        <v>5</v>
      </c>
      <c r="I79" s="24">
        <v>3</v>
      </c>
      <c r="J79" s="24" t="s">
        <v>436</v>
      </c>
      <c r="K79" s="24">
        <v>1</v>
      </c>
      <c r="L79" s="24">
        <f t="shared" si="49"/>
        <v>1</v>
      </c>
      <c r="M79" s="292">
        <v>0</v>
      </c>
      <c r="N79" s="23">
        <f t="shared" si="51"/>
        <v>0</v>
      </c>
      <c r="O79" s="23">
        <v>0</v>
      </c>
      <c r="P79" s="23">
        <v>0</v>
      </c>
      <c r="Q79" s="290">
        <f t="shared" si="52"/>
        <v>0</v>
      </c>
      <c r="R79" s="318">
        <f t="shared" ref="R79:R84" si="53">(H79-H78)*$D$51</f>
        <v>45.454545454545453</v>
      </c>
    </row>
    <row r="80" spans="1:30" x14ac:dyDescent="0.25">
      <c r="G80" s="417">
        <f t="shared" si="50"/>
        <v>2102400</v>
      </c>
      <c r="H80" s="24">
        <v>6</v>
      </c>
      <c r="I80" s="24">
        <v>4</v>
      </c>
      <c r="J80" s="24" t="s">
        <v>436</v>
      </c>
      <c r="K80" s="24">
        <v>1</v>
      </c>
      <c r="L80" s="24">
        <f t="shared" si="49"/>
        <v>1</v>
      </c>
      <c r="M80" s="292">
        <v>0</v>
      </c>
      <c r="N80" s="23">
        <f t="shared" si="51"/>
        <v>0</v>
      </c>
      <c r="O80" s="23">
        <v>0</v>
      </c>
      <c r="P80" s="23">
        <v>0</v>
      </c>
      <c r="Q80" s="290">
        <f t="shared" si="52"/>
        <v>0</v>
      </c>
      <c r="R80" s="318">
        <f t="shared" si="53"/>
        <v>45.454545454545453</v>
      </c>
    </row>
    <row r="81" spans="7:41" ht="14.4" customHeight="1" x14ac:dyDescent="0.25">
      <c r="G81" s="417">
        <f t="shared" si="50"/>
        <v>2628000</v>
      </c>
      <c r="H81" s="24">
        <v>7</v>
      </c>
      <c r="I81" s="24">
        <v>5</v>
      </c>
      <c r="J81" s="24" t="s">
        <v>436</v>
      </c>
      <c r="K81" s="24">
        <v>1</v>
      </c>
      <c r="L81" s="24">
        <f t="shared" si="49"/>
        <v>1</v>
      </c>
      <c r="M81" s="292">
        <v>0</v>
      </c>
      <c r="N81" s="23">
        <f t="shared" si="51"/>
        <v>0</v>
      </c>
      <c r="O81" s="23">
        <v>0</v>
      </c>
      <c r="P81" s="23">
        <v>0</v>
      </c>
      <c r="Q81" s="290">
        <f t="shared" si="52"/>
        <v>0</v>
      </c>
      <c r="R81" s="318">
        <f t="shared" si="53"/>
        <v>45.454545454545453</v>
      </c>
    </row>
    <row r="82" spans="7:41" x14ac:dyDescent="0.25">
      <c r="G82" s="417">
        <f t="shared" si="50"/>
        <v>3153600</v>
      </c>
      <c r="H82" s="24">
        <v>8</v>
      </c>
      <c r="I82" s="24">
        <v>6</v>
      </c>
      <c r="J82" s="24" t="s">
        <v>436</v>
      </c>
      <c r="K82" s="24">
        <v>1</v>
      </c>
      <c r="L82" s="24">
        <f t="shared" si="49"/>
        <v>1</v>
      </c>
      <c r="M82" s="292">
        <v>0</v>
      </c>
      <c r="N82" s="23">
        <f t="shared" si="51"/>
        <v>0</v>
      </c>
      <c r="O82" s="23">
        <v>5</v>
      </c>
      <c r="P82" s="23">
        <v>0</v>
      </c>
      <c r="Q82" s="290">
        <f t="shared" si="52"/>
        <v>0</v>
      </c>
      <c r="R82" s="318">
        <f t="shared" si="53"/>
        <v>45.454545454545453</v>
      </c>
    </row>
    <row r="83" spans="7:41" x14ac:dyDescent="0.25">
      <c r="G83" s="417">
        <f t="shared" si="50"/>
        <v>3679200</v>
      </c>
      <c r="H83" s="24">
        <v>9</v>
      </c>
      <c r="I83" s="24">
        <v>7</v>
      </c>
      <c r="J83" s="24" t="s">
        <v>436</v>
      </c>
      <c r="K83" s="24">
        <v>1</v>
      </c>
      <c r="L83" s="24">
        <f t="shared" si="49"/>
        <v>1</v>
      </c>
      <c r="M83" s="292">
        <v>0</v>
      </c>
      <c r="N83" s="23">
        <f t="shared" si="51"/>
        <v>0</v>
      </c>
      <c r="O83" s="23">
        <v>5</v>
      </c>
      <c r="P83" s="23">
        <v>0</v>
      </c>
      <c r="Q83" s="290">
        <f t="shared" si="52"/>
        <v>0</v>
      </c>
      <c r="R83" s="318">
        <f t="shared" si="53"/>
        <v>45.454545454545453</v>
      </c>
    </row>
    <row r="84" spans="7:41" ht="15" thickBot="1" x14ac:dyDescent="0.35">
      <c r="G84" s="418">
        <f t="shared" si="50"/>
        <v>4204800</v>
      </c>
      <c r="H84" s="322">
        <v>10</v>
      </c>
      <c r="I84" s="322">
        <v>8</v>
      </c>
      <c r="J84" s="322" t="s">
        <v>436</v>
      </c>
      <c r="K84" s="322">
        <v>1</v>
      </c>
      <c r="L84" s="322">
        <f t="shared" si="49"/>
        <v>1</v>
      </c>
      <c r="M84" s="292">
        <v>0</v>
      </c>
      <c r="N84" s="420">
        <f t="shared" si="51"/>
        <v>0</v>
      </c>
      <c r="O84" s="420">
        <v>5</v>
      </c>
      <c r="P84" s="420">
        <v>0</v>
      </c>
      <c r="Q84" s="321">
        <f>(M84*$C$5)+(N84*$C$6)*($C$9/100)</f>
        <v>0</v>
      </c>
      <c r="R84" s="318">
        <f t="shared" si="53"/>
        <v>45.454545454545453</v>
      </c>
      <c r="T84" s="153"/>
      <c r="U84" s="153"/>
      <c r="V84" s="153"/>
      <c r="W84" s="153"/>
      <c r="X84" s="153"/>
      <c r="Y84" s="153"/>
      <c r="Z84" s="153"/>
      <c r="AA84" s="153"/>
      <c r="AB84" s="153"/>
      <c r="AC84" s="153"/>
      <c r="AD84" s="153"/>
      <c r="AE84" s="153"/>
      <c r="AF84" s="153"/>
      <c r="AG84" s="153"/>
      <c r="AH84" s="153"/>
      <c r="AI84" s="153"/>
      <c r="AJ84" s="153"/>
      <c r="AK84" s="153"/>
      <c r="AL84" s="153"/>
      <c r="AM84" s="153"/>
    </row>
    <row r="85" spans="7:41" x14ac:dyDescent="0.25">
      <c r="Q85" s="2"/>
      <c r="Z85" s="2"/>
      <c r="AA85" s="2"/>
      <c r="AB85" s="2"/>
      <c r="AC85" s="2"/>
      <c r="AD85" s="2"/>
    </row>
    <row r="86" spans="7:41" x14ac:dyDescent="0.25">
      <c r="G86" s="25"/>
      <c r="L86" s="301"/>
      <c r="M86" s="301"/>
      <c r="N86" s="301"/>
      <c r="O86" s="301"/>
      <c r="P86" s="327"/>
      <c r="Q86" s="301"/>
      <c r="Z86" s="2"/>
      <c r="AA86" s="2"/>
      <c r="AB86" s="2"/>
      <c r="AC86" s="2"/>
      <c r="AD86" s="2"/>
    </row>
    <row r="87" spans="7:41" ht="15" thickBot="1" x14ac:dyDescent="0.35">
      <c r="G87" s="517" t="s">
        <v>459</v>
      </c>
      <c r="H87" s="517"/>
      <c r="I87" s="517"/>
      <c r="J87" s="517"/>
      <c r="K87" s="517"/>
      <c r="L87" s="517"/>
      <c r="M87" s="517"/>
      <c r="N87" s="517"/>
      <c r="O87" s="517"/>
      <c r="P87" s="517"/>
      <c r="Q87" s="517"/>
      <c r="R87" s="517"/>
      <c r="T87" s="520" t="s">
        <v>424</v>
      </c>
      <c r="U87" s="520"/>
      <c r="V87" s="520"/>
      <c r="W87" s="520"/>
      <c r="X87" s="520"/>
      <c r="Y87" s="520"/>
      <c r="Z87" s="520"/>
      <c r="AA87" s="520"/>
      <c r="AB87" s="520"/>
      <c r="AC87" s="520"/>
      <c r="AD87" s="520"/>
      <c r="AE87" s="520"/>
      <c r="AF87" s="520"/>
      <c r="AG87" s="520"/>
      <c r="AH87" s="520"/>
      <c r="AI87" s="520"/>
      <c r="AJ87" s="520"/>
      <c r="AK87" s="520"/>
      <c r="AL87" s="520"/>
      <c r="AM87" s="520"/>
      <c r="AN87" s="153"/>
      <c r="AO87" s="153"/>
    </row>
    <row r="88" spans="7:41" x14ac:dyDescent="0.25">
      <c r="G88" s="314" t="s">
        <v>372</v>
      </c>
      <c r="H88" s="315" t="s">
        <v>389</v>
      </c>
      <c r="I88" s="315" t="s">
        <v>390</v>
      </c>
      <c r="J88" s="315" t="s">
        <v>345</v>
      </c>
      <c r="K88" s="315" t="s">
        <v>426</v>
      </c>
      <c r="L88" s="315" t="s">
        <v>427</v>
      </c>
      <c r="M88" s="315" t="s">
        <v>428</v>
      </c>
      <c r="N88" s="364" t="s">
        <v>429</v>
      </c>
      <c r="O88" s="364" t="s">
        <v>430</v>
      </c>
      <c r="P88" s="315" t="s">
        <v>431</v>
      </c>
      <c r="Q88" s="414" t="s">
        <v>432</v>
      </c>
      <c r="R88" s="316" t="s">
        <v>433</v>
      </c>
      <c r="T88" s="304">
        <v>2024</v>
      </c>
      <c r="U88" s="304">
        <v>2025</v>
      </c>
      <c r="V88" s="304">
        <v>2026</v>
      </c>
      <c r="W88" s="304">
        <v>2027</v>
      </c>
      <c r="X88" s="304">
        <v>2028</v>
      </c>
      <c r="Y88" s="304">
        <v>2029</v>
      </c>
      <c r="Z88" s="304">
        <v>2030</v>
      </c>
      <c r="AA88" s="304">
        <v>2031</v>
      </c>
      <c r="AB88" s="304">
        <v>2032</v>
      </c>
      <c r="AC88" s="304">
        <v>2033</v>
      </c>
      <c r="AD88" s="304">
        <v>2034</v>
      </c>
      <c r="AE88" s="304">
        <v>2035</v>
      </c>
      <c r="AF88" s="304">
        <v>2036</v>
      </c>
      <c r="AG88" s="304">
        <v>2037</v>
      </c>
      <c r="AH88" s="304">
        <v>2038</v>
      </c>
      <c r="AI88" s="304">
        <v>2039</v>
      </c>
      <c r="AJ88" s="304">
        <v>2040</v>
      </c>
      <c r="AK88" s="304">
        <v>2041</v>
      </c>
      <c r="AL88" s="304">
        <v>2042</v>
      </c>
      <c r="AM88" s="304">
        <v>2043</v>
      </c>
      <c r="AO88" s="304" t="s">
        <v>434</v>
      </c>
    </row>
    <row r="89" spans="7:41" x14ac:dyDescent="0.25">
      <c r="G89" s="415">
        <f t="shared" ref="G89:H97" si="54">G76</f>
        <v>0</v>
      </c>
      <c r="H89" s="24">
        <f t="shared" si="54"/>
        <v>0</v>
      </c>
      <c r="I89" s="24">
        <v>0</v>
      </c>
      <c r="J89" s="24" t="s">
        <v>436</v>
      </c>
      <c r="K89" s="24">
        <f t="shared" ref="K89:K97" si="55">K76*$C$3</f>
        <v>0</v>
      </c>
      <c r="L89" s="24">
        <f t="shared" ref="L89:L97" si="56">L76*$C$4</f>
        <v>0</v>
      </c>
      <c r="M89" s="24">
        <v>0</v>
      </c>
      <c r="N89" s="24">
        <v>0</v>
      </c>
      <c r="O89" s="24">
        <v>0</v>
      </c>
      <c r="P89" s="24">
        <v>0</v>
      </c>
      <c r="Q89" s="24">
        <v>0</v>
      </c>
      <c r="R89" s="416">
        <v>0</v>
      </c>
      <c r="T89" s="24">
        <f>(P89+Q89+R89)</f>
        <v>0</v>
      </c>
      <c r="U89" s="291">
        <f>$T$89/POWER(1+($B$11/100),U88-2024)</f>
        <v>0</v>
      </c>
      <c r="V89" s="291">
        <f t="shared" ref="V89:AM89" si="57">$T$89/POWER(1+($B$11/100),V88-2024)</f>
        <v>0</v>
      </c>
      <c r="W89" s="291">
        <f t="shared" si="57"/>
        <v>0</v>
      </c>
      <c r="X89" s="291">
        <f t="shared" si="57"/>
        <v>0</v>
      </c>
      <c r="Y89" s="291">
        <f t="shared" si="57"/>
        <v>0</v>
      </c>
      <c r="Z89" s="291">
        <f t="shared" si="57"/>
        <v>0</v>
      </c>
      <c r="AA89" s="291">
        <f t="shared" si="57"/>
        <v>0</v>
      </c>
      <c r="AB89" s="291">
        <f t="shared" si="57"/>
        <v>0</v>
      </c>
      <c r="AC89" s="291">
        <f t="shared" si="57"/>
        <v>0</v>
      </c>
      <c r="AD89" s="291">
        <f t="shared" si="57"/>
        <v>0</v>
      </c>
      <c r="AE89" s="291">
        <f t="shared" si="57"/>
        <v>0</v>
      </c>
      <c r="AF89" s="291">
        <f t="shared" si="57"/>
        <v>0</v>
      </c>
      <c r="AG89" s="291">
        <f t="shared" si="57"/>
        <v>0</v>
      </c>
      <c r="AH89" s="291">
        <f t="shared" si="57"/>
        <v>0</v>
      </c>
      <c r="AI89" s="291">
        <f t="shared" si="57"/>
        <v>0</v>
      </c>
      <c r="AJ89" s="291">
        <f t="shared" si="57"/>
        <v>0</v>
      </c>
      <c r="AK89" s="291">
        <f t="shared" si="57"/>
        <v>0</v>
      </c>
      <c r="AL89" s="291">
        <f t="shared" si="57"/>
        <v>0</v>
      </c>
      <c r="AM89" s="291">
        <f t="shared" si="57"/>
        <v>0</v>
      </c>
      <c r="AO89" s="24"/>
    </row>
    <row r="90" spans="7:41" x14ac:dyDescent="0.25">
      <c r="G90" s="319">
        <f t="shared" si="54"/>
        <v>525600</v>
      </c>
      <c r="H90" s="24">
        <f t="shared" si="54"/>
        <v>3</v>
      </c>
      <c r="I90" s="24">
        <v>1</v>
      </c>
      <c r="J90" s="24" t="s">
        <v>436</v>
      </c>
      <c r="K90" s="24">
        <f>K77*$C$3</f>
        <v>600</v>
      </c>
      <c r="L90" s="24">
        <f>L77*$C$4</f>
        <v>300</v>
      </c>
      <c r="M90" s="23">
        <f>M77*$C$5</f>
        <v>30</v>
      </c>
      <c r="N90" s="23">
        <f>N77*$C$6</f>
        <v>0.6</v>
      </c>
      <c r="O90" s="23">
        <f>O77*C7</f>
        <v>0</v>
      </c>
      <c r="P90" s="305">
        <f>P77*$C$8</f>
        <v>0.11799999999999999</v>
      </c>
      <c r="Q90" s="290">
        <f>(M77*$C$5)+(N77*$C$6)*(Q77/100)</f>
        <v>30.06</v>
      </c>
      <c r="R90" s="318">
        <f>R77*$C$10</f>
        <v>28.5</v>
      </c>
      <c r="T90" s="291">
        <f>(P90+Q90+R90)</f>
        <v>58.677999999999997</v>
      </c>
      <c r="U90" s="291">
        <f t="shared" ref="U90:AM90" si="58">$T$90/POWER(1+($B$11/100),U88-2024)</f>
        <v>56.96893203883495</v>
      </c>
      <c r="V90" s="291">
        <f t="shared" si="58"/>
        <v>55.309642756150438</v>
      </c>
      <c r="W90" s="291">
        <f t="shared" si="58"/>
        <v>53.698682287524697</v>
      </c>
      <c r="X90" s="291">
        <f t="shared" si="58"/>
        <v>52.134642997596792</v>
      </c>
      <c r="Y90" s="291">
        <f t="shared" si="58"/>
        <v>50.616158250093982</v>
      </c>
      <c r="Z90" s="291">
        <f t="shared" si="58"/>
        <v>49.141901213683468</v>
      </c>
      <c r="AA90" s="291">
        <f t="shared" si="58"/>
        <v>47.710583702605312</v>
      </c>
      <c r="AB90" s="291">
        <f t="shared" si="58"/>
        <v>46.320955051073121</v>
      </c>
      <c r="AC90" s="291">
        <f t="shared" si="58"/>
        <v>44.971801020459338</v>
      </c>
      <c r="AD90" s="291">
        <f t="shared" si="58"/>
        <v>43.661942738310039</v>
      </c>
      <c r="AE90" s="291">
        <f t="shared" si="58"/>
        <v>42.390235668262171</v>
      </c>
      <c r="AF90" s="291">
        <f t="shared" si="58"/>
        <v>41.155568609963282</v>
      </c>
      <c r="AG90" s="291">
        <f t="shared" si="58"/>
        <v>39.956862728119688</v>
      </c>
      <c r="AH90" s="291">
        <f t="shared" si="58"/>
        <v>38.793070609824937</v>
      </c>
      <c r="AI90" s="291">
        <f t="shared" si="58"/>
        <v>37.663175349344598</v>
      </c>
      <c r="AJ90" s="291">
        <f t="shared" si="58"/>
        <v>36.566189659557871</v>
      </c>
      <c r="AK90" s="291">
        <f t="shared" si="58"/>
        <v>35.501155009279486</v>
      </c>
      <c r="AL90" s="291">
        <f t="shared" si="58"/>
        <v>34.467140785708239</v>
      </c>
      <c r="AM90" s="291">
        <f t="shared" si="58"/>
        <v>33.463243481270133</v>
      </c>
      <c r="AO90" s="291">
        <f>SUM(T90:AM90)</f>
        <v>899.16988395766259</v>
      </c>
    </row>
    <row r="91" spans="7:41" x14ac:dyDescent="0.25">
      <c r="G91" s="319">
        <f t="shared" si="54"/>
        <v>1051200</v>
      </c>
      <c r="H91" s="24">
        <f t="shared" si="54"/>
        <v>4</v>
      </c>
      <c r="I91" s="24">
        <v>2</v>
      </c>
      <c r="J91" s="24" t="s">
        <v>436</v>
      </c>
      <c r="K91" s="24">
        <f t="shared" si="55"/>
        <v>200</v>
      </c>
      <c r="L91" s="24">
        <f t="shared" si="56"/>
        <v>100</v>
      </c>
      <c r="M91" s="23">
        <f t="shared" ref="M91:M97" si="59">M78*$C$5</f>
        <v>0</v>
      </c>
      <c r="N91" s="23">
        <f t="shared" ref="N91:N97" si="60">N78*$C$6</f>
        <v>0</v>
      </c>
      <c r="O91" s="23">
        <f t="shared" ref="O91:O97" si="61">O78*C9</f>
        <v>0</v>
      </c>
      <c r="P91" s="305">
        <f t="shared" ref="P91:P97" si="62">P78*$C$8</f>
        <v>0</v>
      </c>
      <c r="Q91" s="290">
        <f t="shared" ref="Q91:Q97" si="63">(M78*$C$5)+(N78*$C$6)*(Q78/100)</f>
        <v>0</v>
      </c>
      <c r="R91" s="318">
        <f t="shared" ref="R91:R97" si="64">R78*$C$10</f>
        <v>8.6363636363636367</v>
      </c>
      <c r="T91" s="291">
        <f t="shared" ref="T91:T96" si="65">(P91+Q91+R91)</f>
        <v>8.6363636363636367</v>
      </c>
      <c r="U91" s="291">
        <f>$T$91/POWER(1+($B$11/100),U88-2024)</f>
        <v>8.3848190644307152</v>
      </c>
      <c r="V91" s="291">
        <f t="shared" ref="V91:AM91" si="66">$T$91/POWER(1+($B$11/100),V88-2024)</f>
        <v>8.1406010334278793</v>
      </c>
      <c r="W91" s="291">
        <f t="shared" si="66"/>
        <v>7.903496148959106</v>
      </c>
      <c r="X91" s="291">
        <f t="shared" si="66"/>
        <v>7.6732972319991326</v>
      </c>
      <c r="Y91" s="291">
        <f t="shared" si="66"/>
        <v>7.4498031378632357</v>
      </c>
      <c r="Z91" s="291">
        <f t="shared" si="66"/>
        <v>7.2328185804497434</v>
      </c>
      <c r="AA91" s="291">
        <f t="shared" si="66"/>
        <v>7.0221539616016919</v>
      </c>
      <c r="AB91" s="291">
        <f t="shared" si="66"/>
        <v>6.8176252054385369</v>
      </c>
      <c r="AC91" s="291">
        <f t="shared" si="66"/>
        <v>6.6190535975131422</v>
      </c>
      <c r="AD91" s="291">
        <f t="shared" si="66"/>
        <v>6.4262656286535362</v>
      </c>
      <c r="AE91" s="291">
        <f t="shared" si="66"/>
        <v>6.2390928433529478</v>
      </c>
      <c r="AF91" s="291">
        <f t="shared" si="66"/>
        <v>6.0573716925756775</v>
      </c>
      <c r="AG91" s="291">
        <f t="shared" si="66"/>
        <v>5.8809433908501729</v>
      </c>
      <c r="AH91" s="291">
        <f t="shared" si="66"/>
        <v>5.7096537775244389</v>
      </c>
      <c r="AI91" s="291">
        <f t="shared" si="66"/>
        <v>5.5433531820625621</v>
      </c>
      <c r="AJ91" s="291">
        <f t="shared" si="66"/>
        <v>5.3818962932646244</v>
      </c>
      <c r="AK91" s="291">
        <f t="shared" si="66"/>
        <v>5.2251420322957518</v>
      </c>
      <c r="AL91" s="291">
        <f t="shared" si="66"/>
        <v>5.0729534294133511</v>
      </c>
      <c r="AM91" s="291">
        <f t="shared" si="66"/>
        <v>4.9251975042848066</v>
      </c>
      <c r="AO91" s="306">
        <f t="shared" ref="AO91:AO97" si="67">SUM(T91:AM91)</f>
        <v>132.34190137232468</v>
      </c>
    </row>
    <row r="92" spans="7:41" x14ac:dyDescent="0.25">
      <c r="G92" s="319">
        <f t="shared" si="54"/>
        <v>1576800</v>
      </c>
      <c r="H92" s="24">
        <f t="shared" si="54"/>
        <v>5</v>
      </c>
      <c r="I92" s="24">
        <v>3</v>
      </c>
      <c r="J92" s="24" t="s">
        <v>436</v>
      </c>
      <c r="K92" s="24">
        <f t="shared" si="55"/>
        <v>200</v>
      </c>
      <c r="L92" s="24">
        <f t="shared" si="56"/>
        <v>100</v>
      </c>
      <c r="M92" s="23">
        <f t="shared" si="59"/>
        <v>0</v>
      </c>
      <c r="N92" s="23">
        <f t="shared" si="60"/>
        <v>0</v>
      </c>
      <c r="O92" s="23">
        <f t="shared" si="61"/>
        <v>0</v>
      </c>
      <c r="P92" s="305">
        <f t="shared" si="62"/>
        <v>0</v>
      </c>
      <c r="Q92" s="290">
        <f t="shared" si="63"/>
        <v>0</v>
      </c>
      <c r="R92" s="318">
        <f t="shared" si="64"/>
        <v>8.6363636363636367</v>
      </c>
      <c r="T92" s="291">
        <f t="shared" si="65"/>
        <v>8.6363636363636367</v>
      </c>
      <c r="U92" s="291">
        <f>$T$92/POWER(1+($B$11/100),U88-2024)</f>
        <v>8.3848190644307152</v>
      </c>
      <c r="V92" s="291">
        <f t="shared" ref="V92:AM92" si="68">$T$92/POWER(1+($B$11/100),V88-2024)</f>
        <v>8.1406010334278793</v>
      </c>
      <c r="W92" s="291">
        <f t="shared" si="68"/>
        <v>7.903496148959106</v>
      </c>
      <c r="X92" s="291">
        <f t="shared" si="68"/>
        <v>7.6732972319991326</v>
      </c>
      <c r="Y92" s="291">
        <f t="shared" si="68"/>
        <v>7.4498031378632357</v>
      </c>
      <c r="Z92" s="291">
        <f t="shared" si="68"/>
        <v>7.2328185804497434</v>
      </c>
      <c r="AA92" s="291">
        <f t="shared" si="68"/>
        <v>7.0221539616016919</v>
      </c>
      <c r="AB92" s="291">
        <f t="shared" si="68"/>
        <v>6.8176252054385369</v>
      </c>
      <c r="AC92" s="291">
        <f t="shared" si="68"/>
        <v>6.6190535975131422</v>
      </c>
      <c r="AD92" s="291">
        <f t="shared" si="68"/>
        <v>6.4262656286535362</v>
      </c>
      <c r="AE92" s="291">
        <f t="shared" si="68"/>
        <v>6.2390928433529478</v>
      </c>
      <c r="AF92" s="291">
        <f t="shared" si="68"/>
        <v>6.0573716925756775</v>
      </c>
      <c r="AG92" s="291">
        <f t="shared" si="68"/>
        <v>5.8809433908501729</v>
      </c>
      <c r="AH92" s="291">
        <f t="shared" si="68"/>
        <v>5.7096537775244389</v>
      </c>
      <c r="AI92" s="291">
        <f t="shared" si="68"/>
        <v>5.5433531820625621</v>
      </c>
      <c r="AJ92" s="291">
        <f t="shared" si="68"/>
        <v>5.3818962932646244</v>
      </c>
      <c r="AK92" s="291">
        <f t="shared" si="68"/>
        <v>5.2251420322957518</v>
      </c>
      <c r="AL92" s="291">
        <f t="shared" si="68"/>
        <v>5.0729534294133511</v>
      </c>
      <c r="AM92" s="291">
        <f t="shared" si="68"/>
        <v>4.9251975042848066</v>
      </c>
      <c r="AO92" s="306">
        <f t="shared" si="67"/>
        <v>132.34190137232468</v>
      </c>
    </row>
    <row r="93" spans="7:41" x14ac:dyDescent="0.25">
      <c r="G93" s="319">
        <f t="shared" si="54"/>
        <v>2102400</v>
      </c>
      <c r="H93" s="24">
        <f t="shared" si="54"/>
        <v>6</v>
      </c>
      <c r="I93" s="24">
        <v>4</v>
      </c>
      <c r="J93" s="24" t="s">
        <v>436</v>
      </c>
      <c r="K93" s="24">
        <f t="shared" si="55"/>
        <v>200</v>
      </c>
      <c r="L93" s="24">
        <f t="shared" si="56"/>
        <v>100</v>
      </c>
      <c r="M93" s="23">
        <f t="shared" si="59"/>
        <v>0</v>
      </c>
      <c r="N93" s="23">
        <f t="shared" si="60"/>
        <v>0</v>
      </c>
      <c r="O93" s="23">
        <f t="shared" si="61"/>
        <v>0</v>
      </c>
      <c r="P93" s="305">
        <f t="shared" si="62"/>
        <v>0</v>
      </c>
      <c r="Q93" s="290">
        <f t="shared" si="63"/>
        <v>0</v>
      </c>
      <c r="R93" s="318">
        <f t="shared" si="64"/>
        <v>8.6363636363636367</v>
      </c>
      <c r="T93" s="291">
        <f t="shared" si="65"/>
        <v>8.6363636363636367</v>
      </c>
      <c r="U93" s="291">
        <f>$T$93/POWER(1+($B$11/100),U88-2024)</f>
        <v>8.3848190644307152</v>
      </c>
      <c r="V93" s="291">
        <f t="shared" ref="V93:AM93" si="69">$T$93/POWER(1+($B$11/100),V88-2024)</f>
        <v>8.1406010334278793</v>
      </c>
      <c r="W93" s="291">
        <f t="shared" si="69"/>
        <v>7.903496148959106</v>
      </c>
      <c r="X93" s="291">
        <f t="shared" si="69"/>
        <v>7.6732972319991326</v>
      </c>
      <c r="Y93" s="291">
        <f t="shared" si="69"/>
        <v>7.4498031378632357</v>
      </c>
      <c r="Z93" s="291">
        <f t="shared" si="69"/>
        <v>7.2328185804497434</v>
      </c>
      <c r="AA93" s="291">
        <f t="shared" si="69"/>
        <v>7.0221539616016919</v>
      </c>
      <c r="AB93" s="291">
        <f t="shared" si="69"/>
        <v>6.8176252054385369</v>
      </c>
      <c r="AC93" s="291">
        <f t="shared" si="69"/>
        <v>6.6190535975131422</v>
      </c>
      <c r="AD93" s="291">
        <f t="shared" si="69"/>
        <v>6.4262656286535362</v>
      </c>
      <c r="AE93" s="291">
        <f t="shared" si="69"/>
        <v>6.2390928433529478</v>
      </c>
      <c r="AF93" s="291">
        <f t="shared" si="69"/>
        <v>6.0573716925756775</v>
      </c>
      <c r="AG93" s="291">
        <f t="shared" si="69"/>
        <v>5.8809433908501729</v>
      </c>
      <c r="AH93" s="291">
        <f t="shared" si="69"/>
        <v>5.7096537775244389</v>
      </c>
      <c r="AI93" s="291">
        <f t="shared" si="69"/>
        <v>5.5433531820625621</v>
      </c>
      <c r="AJ93" s="291">
        <f t="shared" si="69"/>
        <v>5.3818962932646244</v>
      </c>
      <c r="AK93" s="291">
        <f t="shared" si="69"/>
        <v>5.2251420322957518</v>
      </c>
      <c r="AL93" s="291">
        <f t="shared" si="69"/>
        <v>5.0729534294133511</v>
      </c>
      <c r="AM93" s="291">
        <f t="shared" si="69"/>
        <v>4.9251975042848066</v>
      </c>
      <c r="AO93" s="306">
        <f t="shared" si="67"/>
        <v>132.34190137232468</v>
      </c>
    </row>
    <row r="94" spans="7:41" x14ac:dyDescent="0.25">
      <c r="G94" s="319">
        <f t="shared" si="54"/>
        <v>2628000</v>
      </c>
      <c r="H94" s="24">
        <f t="shared" si="54"/>
        <v>7</v>
      </c>
      <c r="I94" s="24">
        <v>5</v>
      </c>
      <c r="J94" s="24" t="s">
        <v>436</v>
      </c>
      <c r="K94" s="24">
        <f t="shared" si="55"/>
        <v>200</v>
      </c>
      <c r="L94" s="24">
        <f t="shared" si="56"/>
        <v>100</v>
      </c>
      <c r="M94" s="23">
        <f t="shared" si="59"/>
        <v>0</v>
      </c>
      <c r="N94" s="23">
        <f t="shared" si="60"/>
        <v>0</v>
      </c>
      <c r="O94" s="23">
        <f t="shared" si="61"/>
        <v>0</v>
      </c>
      <c r="P94" s="305">
        <f t="shared" si="62"/>
        <v>0</v>
      </c>
      <c r="Q94" s="290">
        <f t="shared" si="63"/>
        <v>0</v>
      </c>
      <c r="R94" s="318">
        <f t="shared" si="64"/>
        <v>8.6363636363636367</v>
      </c>
      <c r="T94" s="291">
        <f t="shared" si="65"/>
        <v>8.6363636363636367</v>
      </c>
      <c r="U94" s="291">
        <f>$T$94/POWER(1+($B$11/100),U88-2024)</f>
        <v>8.3848190644307152</v>
      </c>
      <c r="V94" s="291">
        <f t="shared" ref="V94:AM94" si="70">$T$94/POWER(1+($B$11/100),V88-2024)</f>
        <v>8.1406010334278793</v>
      </c>
      <c r="W94" s="291">
        <f t="shared" si="70"/>
        <v>7.903496148959106</v>
      </c>
      <c r="X94" s="291">
        <f t="shared" si="70"/>
        <v>7.6732972319991326</v>
      </c>
      <c r="Y94" s="291">
        <f t="shared" si="70"/>
        <v>7.4498031378632357</v>
      </c>
      <c r="Z94" s="291">
        <f t="shared" si="70"/>
        <v>7.2328185804497434</v>
      </c>
      <c r="AA94" s="291">
        <f t="shared" si="70"/>
        <v>7.0221539616016919</v>
      </c>
      <c r="AB94" s="291">
        <f t="shared" si="70"/>
        <v>6.8176252054385369</v>
      </c>
      <c r="AC94" s="291">
        <f t="shared" si="70"/>
        <v>6.6190535975131422</v>
      </c>
      <c r="AD94" s="291">
        <f t="shared" si="70"/>
        <v>6.4262656286535362</v>
      </c>
      <c r="AE94" s="291">
        <f t="shared" si="70"/>
        <v>6.2390928433529478</v>
      </c>
      <c r="AF94" s="291">
        <f t="shared" si="70"/>
        <v>6.0573716925756775</v>
      </c>
      <c r="AG94" s="291">
        <f t="shared" si="70"/>
        <v>5.8809433908501729</v>
      </c>
      <c r="AH94" s="291">
        <f t="shared" si="70"/>
        <v>5.7096537775244389</v>
      </c>
      <c r="AI94" s="291">
        <f t="shared" si="70"/>
        <v>5.5433531820625621</v>
      </c>
      <c r="AJ94" s="291">
        <f t="shared" si="70"/>
        <v>5.3818962932646244</v>
      </c>
      <c r="AK94" s="291">
        <f t="shared" si="70"/>
        <v>5.2251420322957518</v>
      </c>
      <c r="AL94" s="291">
        <f t="shared" si="70"/>
        <v>5.0729534294133511</v>
      </c>
      <c r="AM94" s="291">
        <f t="shared" si="70"/>
        <v>4.9251975042848066</v>
      </c>
      <c r="AO94" s="306">
        <f t="shared" si="67"/>
        <v>132.34190137232468</v>
      </c>
    </row>
    <row r="95" spans="7:41" x14ac:dyDescent="0.25">
      <c r="G95" s="319">
        <f t="shared" si="54"/>
        <v>3153600</v>
      </c>
      <c r="H95" s="24">
        <f t="shared" si="54"/>
        <v>8</v>
      </c>
      <c r="I95" s="24">
        <v>6</v>
      </c>
      <c r="J95" s="24" t="s">
        <v>436</v>
      </c>
      <c r="K95" s="24">
        <f t="shared" si="55"/>
        <v>200</v>
      </c>
      <c r="L95" s="24">
        <f t="shared" si="56"/>
        <v>100</v>
      </c>
      <c r="M95" s="23">
        <f t="shared" si="59"/>
        <v>0</v>
      </c>
      <c r="N95" s="23">
        <f t="shared" si="60"/>
        <v>0</v>
      </c>
      <c r="O95" s="23">
        <f t="shared" si="61"/>
        <v>0</v>
      </c>
      <c r="P95" s="305">
        <f t="shared" si="62"/>
        <v>0</v>
      </c>
      <c r="Q95" s="290">
        <f t="shared" si="63"/>
        <v>0</v>
      </c>
      <c r="R95" s="318">
        <f t="shared" si="64"/>
        <v>8.6363636363636367</v>
      </c>
      <c r="T95" s="291">
        <f t="shared" si="65"/>
        <v>8.6363636363636367</v>
      </c>
      <c r="U95" s="291">
        <f>$T$95/POWER(1+($B$11/100),U88-2024)</f>
        <v>8.3848190644307152</v>
      </c>
      <c r="V95" s="291">
        <f t="shared" ref="V95:AM95" si="71">$T$95/POWER(1+($B$11/100),V88-2024)</f>
        <v>8.1406010334278793</v>
      </c>
      <c r="W95" s="291">
        <f t="shared" si="71"/>
        <v>7.903496148959106</v>
      </c>
      <c r="X95" s="291">
        <f t="shared" si="71"/>
        <v>7.6732972319991326</v>
      </c>
      <c r="Y95" s="291">
        <f t="shared" si="71"/>
        <v>7.4498031378632357</v>
      </c>
      <c r="Z95" s="291">
        <f t="shared" si="71"/>
        <v>7.2328185804497434</v>
      </c>
      <c r="AA95" s="291">
        <f t="shared" si="71"/>
        <v>7.0221539616016919</v>
      </c>
      <c r="AB95" s="291">
        <f t="shared" si="71"/>
        <v>6.8176252054385369</v>
      </c>
      <c r="AC95" s="291">
        <f t="shared" si="71"/>
        <v>6.6190535975131422</v>
      </c>
      <c r="AD95" s="291">
        <f t="shared" si="71"/>
        <v>6.4262656286535362</v>
      </c>
      <c r="AE95" s="291">
        <f t="shared" si="71"/>
        <v>6.2390928433529478</v>
      </c>
      <c r="AF95" s="291">
        <f t="shared" si="71"/>
        <v>6.0573716925756775</v>
      </c>
      <c r="AG95" s="291">
        <f t="shared" si="71"/>
        <v>5.8809433908501729</v>
      </c>
      <c r="AH95" s="291">
        <f t="shared" si="71"/>
        <v>5.7096537775244389</v>
      </c>
      <c r="AI95" s="291">
        <f t="shared" si="71"/>
        <v>5.5433531820625621</v>
      </c>
      <c r="AJ95" s="291">
        <f t="shared" si="71"/>
        <v>5.3818962932646244</v>
      </c>
      <c r="AK95" s="291">
        <f t="shared" si="71"/>
        <v>5.2251420322957518</v>
      </c>
      <c r="AL95" s="291">
        <f t="shared" si="71"/>
        <v>5.0729534294133511</v>
      </c>
      <c r="AM95" s="291">
        <f t="shared" si="71"/>
        <v>4.9251975042848066</v>
      </c>
      <c r="AO95" s="306">
        <f t="shared" si="67"/>
        <v>132.34190137232468</v>
      </c>
    </row>
    <row r="96" spans="7:41" x14ac:dyDescent="0.25">
      <c r="G96" s="319">
        <f t="shared" si="54"/>
        <v>3679200</v>
      </c>
      <c r="H96" s="24">
        <f t="shared" si="54"/>
        <v>9</v>
      </c>
      <c r="I96" s="24">
        <v>7</v>
      </c>
      <c r="J96" s="24" t="s">
        <v>436</v>
      </c>
      <c r="K96" s="24">
        <f t="shared" si="55"/>
        <v>200</v>
      </c>
      <c r="L96" s="24">
        <f t="shared" si="56"/>
        <v>100</v>
      </c>
      <c r="M96" s="23">
        <f t="shared" si="59"/>
        <v>0</v>
      </c>
      <c r="N96" s="23">
        <f t="shared" si="60"/>
        <v>0</v>
      </c>
      <c r="O96" s="23">
        <f t="shared" si="61"/>
        <v>0</v>
      </c>
      <c r="P96" s="305">
        <f t="shared" si="62"/>
        <v>0</v>
      </c>
      <c r="Q96" s="290">
        <f t="shared" si="63"/>
        <v>0</v>
      </c>
      <c r="R96" s="318">
        <f t="shared" si="64"/>
        <v>8.6363636363636367</v>
      </c>
      <c r="T96" s="291">
        <f t="shared" si="65"/>
        <v>8.6363636363636367</v>
      </c>
      <c r="U96" s="291">
        <f>$T$96/POWER(1+($B$11/100),U88-2024)</f>
        <v>8.3848190644307152</v>
      </c>
      <c r="V96" s="291">
        <f t="shared" ref="V96:AM96" si="72">$T$96/POWER(1+($B$11/100),V88-2024)</f>
        <v>8.1406010334278793</v>
      </c>
      <c r="W96" s="291">
        <f t="shared" si="72"/>
        <v>7.903496148959106</v>
      </c>
      <c r="X96" s="291">
        <f t="shared" si="72"/>
        <v>7.6732972319991326</v>
      </c>
      <c r="Y96" s="291">
        <f t="shared" si="72"/>
        <v>7.4498031378632357</v>
      </c>
      <c r="Z96" s="291">
        <f t="shared" si="72"/>
        <v>7.2328185804497434</v>
      </c>
      <c r="AA96" s="291">
        <f t="shared" si="72"/>
        <v>7.0221539616016919</v>
      </c>
      <c r="AB96" s="291">
        <f t="shared" si="72"/>
        <v>6.8176252054385369</v>
      </c>
      <c r="AC96" s="291">
        <f t="shared" si="72"/>
        <v>6.6190535975131422</v>
      </c>
      <c r="AD96" s="291">
        <f t="shared" si="72"/>
        <v>6.4262656286535362</v>
      </c>
      <c r="AE96" s="291">
        <f t="shared" si="72"/>
        <v>6.2390928433529478</v>
      </c>
      <c r="AF96" s="291">
        <f t="shared" si="72"/>
        <v>6.0573716925756775</v>
      </c>
      <c r="AG96" s="291">
        <f t="shared" si="72"/>
        <v>5.8809433908501729</v>
      </c>
      <c r="AH96" s="291">
        <f t="shared" si="72"/>
        <v>5.7096537775244389</v>
      </c>
      <c r="AI96" s="291">
        <f t="shared" si="72"/>
        <v>5.5433531820625621</v>
      </c>
      <c r="AJ96" s="291">
        <f t="shared" si="72"/>
        <v>5.3818962932646244</v>
      </c>
      <c r="AK96" s="291">
        <f t="shared" si="72"/>
        <v>5.2251420322957518</v>
      </c>
      <c r="AL96" s="291">
        <f t="shared" si="72"/>
        <v>5.0729534294133511</v>
      </c>
      <c r="AM96" s="291">
        <f t="shared" si="72"/>
        <v>4.9251975042848066</v>
      </c>
      <c r="AO96" s="306">
        <f t="shared" si="67"/>
        <v>132.34190137232468</v>
      </c>
    </row>
    <row r="97" spans="7:41" ht="14.4" thickBot="1" x14ac:dyDescent="0.3">
      <c r="G97" s="331">
        <f t="shared" si="54"/>
        <v>4204800</v>
      </c>
      <c r="H97" s="322">
        <f t="shared" si="54"/>
        <v>10</v>
      </c>
      <c r="I97" s="322">
        <v>8</v>
      </c>
      <c r="J97" s="322" t="s">
        <v>436</v>
      </c>
      <c r="K97" s="322">
        <f t="shared" si="55"/>
        <v>200</v>
      </c>
      <c r="L97" s="322">
        <f t="shared" si="56"/>
        <v>100</v>
      </c>
      <c r="M97" s="420">
        <f t="shared" si="59"/>
        <v>0</v>
      </c>
      <c r="N97" s="420">
        <f t="shared" si="60"/>
        <v>0</v>
      </c>
      <c r="O97" s="420">
        <f t="shared" si="61"/>
        <v>0</v>
      </c>
      <c r="P97" s="422">
        <f t="shared" si="62"/>
        <v>0</v>
      </c>
      <c r="Q97" s="321">
        <f t="shared" si="63"/>
        <v>0</v>
      </c>
      <c r="R97" s="326">
        <f t="shared" si="64"/>
        <v>8.6363636363636367</v>
      </c>
      <c r="T97" s="291">
        <f>(P97+Q97+R97)</f>
        <v>8.6363636363636367</v>
      </c>
      <c r="U97" s="291">
        <f>$T$97/POWER(1+($B$11/100),U88-2024)</f>
        <v>8.3848190644307152</v>
      </c>
      <c r="V97" s="291">
        <f t="shared" ref="V97:AM97" si="73">$T$97/POWER(1+($B$11/100),V88-2024)</f>
        <v>8.1406010334278793</v>
      </c>
      <c r="W97" s="291">
        <f t="shared" si="73"/>
        <v>7.903496148959106</v>
      </c>
      <c r="X97" s="291">
        <f t="shared" si="73"/>
        <v>7.6732972319991326</v>
      </c>
      <c r="Y97" s="291">
        <f t="shared" si="73"/>
        <v>7.4498031378632357</v>
      </c>
      <c r="Z97" s="291">
        <f t="shared" si="73"/>
        <v>7.2328185804497434</v>
      </c>
      <c r="AA97" s="291">
        <f t="shared" si="73"/>
        <v>7.0221539616016919</v>
      </c>
      <c r="AB97" s="291">
        <f t="shared" si="73"/>
        <v>6.8176252054385369</v>
      </c>
      <c r="AC97" s="291">
        <f t="shared" si="73"/>
        <v>6.6190535975131422</v>
      </c>
      <c r="AD97" s="291">
        <f t="shared" si="73"/>
        <v>6.4262656286535362</v>
      </c>
      <c r="AE97" s="291">
        <f t="shared" si="73"/>
        <v>6.2390928433529478</v>
      </c>
      <c r="AF97" s="291">
        <f t="shared" si="73"/>
        <v>6.0573716925756775</v>
      </c>
      <c r="AG97" s="291">
        <f t="shared" si="73"/>
        <v>5.8809433908501729</v>
      </c>
      <c r="AH97" s="291">
        <f t="shared" si="73"/>
        <v>5.7096537775244389</v>
      </c>
      <c r="AI97" s="291">
        <f t="shared" si="73"/>
        <v>5.5433531820625621</v>
      </c>
      <c r="AJ97" s="291">
        <f t="shared" si="73"/>
        <v>5.3818962932646244</v>
      </c>
      <c r="AK97" s="291">
        <f t="shared" si="73"/>
        <v>5.2251420322957518</v>
      </c>
      <c r="AL97" s="291">
        <f t="shared" si="73"/>
        <v>5.0729534294133511</v>
      </c>
      <c r="AM97" s="291">
        <f t="shared" si="73"/>
        <v>4.9251975042848066</v>
      </c>
      <c r="AO97" s="306">
        <f t="shared" si="67"/>
        <v>132.34190137232468</v>
      </c>
    </row>
    <row r="98" spans="7:41" ht="14.4" x14ac:dyDescent="0.3">
      <c r="G98" s="327"/>
      <c r="H98" s="48"/>
      <c r="I98" s="48"/>
      <c r="J98" s="48"/>
      <c r="K98" s="48"/>
      <c r="L98" s="48"/>
      <c r="M98" s="329"/>
      <c r="N98" s="329"/>
      <c r="O98" s="329"/>
      <c r="P98" s="330"/>
      <c r="Q98" s="327"/>
      <c r="R98" s="329"/>
      <c r="T98" s="153"/>
      <c r="U98" s="153"/>
      <c r="V98" s="153"/>
      <c r="W98" s="153"/>
      <c r="X98" s="153"/>
      <c r="Y98" s="153"/>
      <c r="Z98" s="153"/>
      <c r="AA98" s="153"/>
      <c r="AB98" s="153"/>
      <c r="AC98" s="153"/>
      <c r="AD98" s="153"/>
      <c r="AE98" s="153"/>
      <c r="AF98" s="153"/>
      <c r="AG98" s="153"/>
      <c r="AH98" s="153"/>
      <c r="AI98" s="153"/>
      <c r="AJ98" s="153"/>
      <c r="AK98" s="153"/>
      <c r="AL98" s="153"/>
      <c r="AM98" s="153"/>
      <c r="AO98"/>
    </row>
    <row r="99" spans="7:41" ht="14.4" x14ac:dyDescent="0.3">
      <c r="Q99" s="2"/>
      <c r="T99" s="153"/>
      <c r="U99" s="153"/>
      <c r="V99" s="153"/>
      <c r="W99" s="153"/>
      <c r="X99" s="153"/>
      <c r="Y99" s="153"/>
      <c r="Z99" s="153"/>
      <c r="AA99" s="153"/>
      <c r="AB99" s="153"/>
      <c r="AC99" s="153"/>
      <c r="AD99" s="153"/>
      <c r="AE99" s="153"/>
      <c r="AF99" s="153"/>
      <c r="AG99" s="153"/>
      <c r="AH99" s="153"/>
      <c r="AI99" s="153"/>
      <c r="AJ99" s="153"/>
      <c r="AK99" s="153"/>
      <c r="AL99" s="153"/>
      <c r="AM99" s="153"/>
      <c r="AO99"/>
    </row>
    <row r="100" spans="7:41" ht="15" thickBot="1" x14ac:dyDescent="0.35">
      <c r="G100" s="517" t="s">
        <v>460</v>
      </c>
      <c r="H100" s="517"/>
      <c r="I100" s="517"/>
      <c r="J100" s="517"/>
      <c r="K100" s="517"/>
      <c r="L100" s="517"/>
      <c r="M100" s="517"/>
      <c r="N100" s="517"/>
      <c r="O100" s="517"/>
      <c r="P100" s="517"/>
      <c r="T100" s="153"/>
      <c r="U100" s="153"/>
      <c r="V100" s="153"/>
      <c r="W100" s="153"/>
      <c r="X100" s="153"/>
      <c r="Y100" s="153"/>
      <c r="Z100" s="153"/>
      <c r="AA100" s="153"/>
      <c r="AB100" s="153"/>
      <c r="AC100" s="153"/>
      <c r="AD100" s="153"/>
      <c r="AE100" s="153"/>
      <c r="AF100" s="153"/>
      <c r="AG100" s="153"/>
      <c r="AH100" s="153"/>
      <c r="AI100" s="153"/>
      <c r="AJ100" s="153"/>
      <c r="AK100" s="153"/>
      <c r="AL100" s="153"/>
      <c r="AM100" s="153"/>
      <c r="AN100" s="153"/>
      <c r="AO100"/>
    </row>
    <row r="101" spans="7:41" ht="14.4" x14ac:dyDescent="0.3">
      <c r="G101" s="314" t="s">
        <v>372</v>
      </c>
      <c r="H101" s="315" t="s">
        <v>389</v>
      </c>
      <c r="I101" s="315" t="s">
        <v>390</v>
      </c>
      <c r="J101" s="315" t="s">
        <v>345</v>
      </c>
      <c r="K101" s="364" t="s">
        <v>443</v>
      </c>
      <c r="L101" s="364" t="s">
        <v>462</v>
      </c>
      <c r="M101" s="315" t="s">
        <v>463</v>
      </c>
      <c r="N101" s="315" t="s">
        <v>446</v>
      </c>
      <c r="O101" s="315" t="s">
        <v>447</v>
      </c>
      <c r="P101" s="315" t="s">
        <v>448</v>
      </c>
      <c r="Q101" s="316" t="s">
        <v>449</v>
      </c>
      <c r="T101" s="153"/>
      <c r="U101" s="153"/>
      <c r="V101" s="153"/>
      <c r="W101" s="153"/>
      <c r="X101" s="153"/>
      <c r="Y101" s="153"/>
      <c r="Z101" s="153"/>
      <c r="AA101" s="153"/>
      <c r="AB101" s="153"/>
      <c r="AC101" s="153"/>
      <c r="AD101" s="153"/>
      <c r="AE101" s="153"/>
      <c r="AF101" s="153"/>
      <c r="AG101" s="153"/>
      <c r="AH101" s="153"/>
      <c r="AI101" s="153"/>
      <c r="AJ101" s="153"/>
      <c r="AK101" s="153"/>
      <c r="AL101" s="153"/>
      <c r="AM101" s="153"/>
      <c r="AN101" s="153"/>
      <c r="AO101"/>
    </row>
    <row r="102" spans="7:41" ht="14.4" x14ac:dyDescent="0.3">
      <c r="G102" s="319">
        <f t="shared" ref="G102:H110" si="74">G76</f>
        <v>0</v>
      </c>
      <c r="H102" s="290">
        <f t="shared" si="74"/>
        <v>0</v>
      </c>
      <c r="I102" s="290">
        <f>I76</f>
        <v>0</v>
      </c>
      <c r="J102" s="290" t="str">
        <f>J76</f>
        <v>GEO</v>
      </c>
      <c r="K102" s="28">
        <v>0</v>
      </c>
      <c r="L102" s="290">
        <v>0</v>
      </c>
      <c r="M102" s="24">
        <v>0</v>
      </c>
      <c r="N102" s="24">
        <v>0</v>
      </c>
      <c r="O102" s="24">
        <v>0</v>
      </c>
      <c r="P102" s="24">
        <v>0</v>
      </c>
      <c r="Q102" s="435">
        <v>0</v>
      </c>
      <c r="T102" s="153"/>
      <c r="U102" s="153"/>
      <c r="V102" s="153"/>
      <c r="W102" s="153"/>
      <c r="X102" s="153"/>
      <c r="Y102" s="153"/>
      <c r="Z102" s="153"/>
      <c r="AA102" s="153"/>
      <c r="AB102" s="153"/>
      <c r="AC102" s="153"/>
      <c r="AD102" s="153"/>
      <c r="AE102" s="153"/>
      <c r="AF102" s="153"/>
      <c r="AG102" s="153"/>
      <c r="AH102" s="153"/>
      <c r="AI102" s="153"/>
      <c r="AJ102" s="153"/>
      <c r="AK102" s="153"/>
      <c r="AL102" s="153"/>
      <c r="AM102" s="153"/>
      <c r="AN102" s="153"/>
      <c r="AO102"/>
    </row>
    <row r="103" spans="7:41" ht="14.4" x14ac:dyDescent="0.3">
      <c r="G103" s="319">
        <f>G77*4</f>
        <v>2102400</v>
      </c>
      <c r="H103" s="24">
        <f t="shared" si="74"/>
        <v>3</v>
      </c>
      <c r="I103" s="24">
        <v>1</v>
      </c>
      <c r="J103" s="24" t="s">
        <v>436</v>
      </c>
      <c r="K103" s="28">
        <f>SUM(L103:M103)</f>
        <v>1829.7698839576626</v>
      </c>
      <c r="L103" s="28">
        <f>SUM(K90:O90,AO90)</f>
        <v>1829.7698839576626</v>
      </c>
      <c r="M103" s="291">
        <v>0</v>
      </c>
      <c r="N103" s="290">
        <f>IFERROR(SUM(O103:P103),0)</f>
        <v>870.32433597681825</v>
      </c>
      <c r="O103" s="290">
        <f t="shared" ref="O103:O110" si="75">IFERROR(L103/G103,0)*1000000</f>
        <v>870.32433597681825</v>
      </c>
      <c r="P103" s="317">
        <f>IFERROR(M103/G103,0)*1000000</f>
        <v>0</v>
      </c>
      <c r="Q103" s="435">
        <f>IFERROR((K103-K102)/(G103-G102),0)*1000000</f>
        <v>870.32433597681825</v>
      </c>
      <c r="T103" s="153"/>
      <c r="U103" s="153"/>
      <c r="V103" s="153"/>
      <c r="W103" s="153"/>
      <c r="X103" s="153"/>
      <c r="Y103" s="153"/>
      <c r="Z103" s="153"/>
      <c r="AA103" s="153"/>
      <c r="AB103" s="153"/>
      <c r="AC103" s="153"/>
      <c r="AD103" s="153"/>
      <c r="AE103" s="153"/>
      <c r="AF103" s="153"/>
      <c r="AG103" s="153"/>
      <c r="AH103" s="153"/>
      <c r="AI103" s="153"/>
      <c r="AJ103" s="153"/>
      <c r="AK103" s="153"/>
      <c r="AL103" s="153"/>
      <c r="AM103" s="153"/>
      <c r="AN103" s="153"/>
      <c r="AO103"/>
    </row>
    <row r="104" spans="7:41" ht="14.4" x14ac:dyDescent="0.3">
      <c r="G104" s="319">
        <f>G78*4</f>
        <v>4204800</v>
      </c>
      <c r="H104" s="24">
        <f t="shared" si="74"/>
        <v>4</v>
      </c>
      <c r="I104" s="24">
        <v>2</v>
      </c>
      <c r="J104" s="24" t="s">
        <v>436</v>
      </c>
      <c r="K104" s="28">
        <f>SUM(L104:M104)</f>
        <v>2262.1117853299875</v>
      </c>
      <c r="L104" s="28">
        <f>$L$103</f>
        <v>1829.7698839576626</v>
      </c>
      <c r="M104" s="291">
        <f>M103+SUM(K91:L91,AO91)</f>
        <v>432.34190137232468</v>
      </c>
      <c r="N104" s="290">
        <f t="shared" ref="N104:N110" si="76">IFERROR(SUM(O104:P104),0)</f>
        <v>537.98320617627178</v>
      </c>
      <c r="O104" s="290">
        <f t="shared" si="75"/>
        <v>435.16216798840912</v>
      </c>
      <c r="P104" s="317">
        <f t="shared" ref="P104:P110" si="77">IFERROR(M104/G104,0)*1000000</f>
        <v>102.8210381878626</v>
      </c>
      <c r="Q104" s="435">
        <f t="shared" ref="Q104:Q110" si="78">IFERROR((K104-K103)/(G104-G103),0)*1000000</f>
        <v>205.64207637572528</v>
      </c>
      <c r="T104" s="153"/>
      <c r="U104" s="153"/>
      <c r="V104" s="153"/>
      <c r="W104" s="153"/>
      <c r="X104" s="153"/>
      <c r="Y104" s="153"/>
      <c r="Z104" s="153"/>
      <c r="AA104" s="153"/>
      <c r="AB104" s="153"/>
      <c r="AC104" s="153"/>
      <c r="AD104" s="153"/>
      <c r="AE104" s="153"/>
      <c r="AF104" s="153"/>
      <c r="AG104" s="153"/>
      <c r="AH104" s="153"/>
      <c r="AI104" s="153"/>
      <c r="AJ104" s="153"/>
      <c r="AK104" s="153"/>
      <c r="AL104" s="153"/>
      <c r="AM104" s="153"/>
      <c r="AN104" s="153"/>
      <c r="AO104" s="153"/>
    </row>
    <row r="105" spans="7:41" ht="14.4" x14ac:dyDescent="0.3">
      <c r="G105" s="319">
        <f t="shared" ref="G105:G110" si="79">G79*4</f>
        <v>6307200</v>
      </c>
      <c r="H105" s="24">
        <f t="shared" si="74"/>
        <v>5</v>
      </c>
      <c r="I105" s="24">
        <v>3</v>
      </c>
      <c r="J105" s="24" t="s">
        <v>436</v>
      </c>
      <c r="K105" s="28">
        <f t="shared" ref="K105:K110" si="80">SUM(L105:M105)</f>
        <v>2694.4536867023121</v>
      </c>
      <c r="L105" s="28">
        <f t="shared" ref="L105:L110" si="81">$L$103</f>
        <v>1829.7698839576626</v>
      </c>
      <c r="M105" s="291">
        <f t="shared" ref="M105:M110" si="82">M104+SUM(K92:L92,AO92)</f>
        <v>864.68380274464937</v>
      </c>
      <c r="N105" s="290">
        <f t="shared" si="76"/>
        <v>427.20282957608953</v>
      </c>
      <c r="O105" s="290">
        <f t="shared" si="75"/>
        <v>290.10811199227271</v>
      </c>
      <c r="P105" s="317">
        <f t="shared" si="77"/>
        <v>137.09471758381682</v>
      </c>
      <c r="Q105" s="435">
        <f t="shared" si="78"/>
        <v>205.6420763757252</v>
      </c>
      <c r="T105" s="153"/>
      <c r="U105" s="153"/>
      <c r="V105" s="153"/>
      <c r="W105" s="153"/>
      <c r="X105" s="153"/>
      <c r="Y105" s="153"/>
      <c r="Z105" s="153"/>
      <c r="AA105" s="153"/>
      <c r="AB105" s="153"/>
      <c r="AC105" s="153"/>
      <c r="AD105" s="153"/>
      <c r="AE105" s="153"/>
      <c r="AF105" s="153"/>
      <c r="AG105" s="153"/>
      <c r="AH105" s="153"/>
      <c r="AI105" s="153"/>
      <c r="AJ105" s="153"/>
      <c r="AK105" s="153"/>
      <c r="AL105" s="153"/>
      <c r="AM105" s="153"/>
      <c r="AN105" s="153"/>
      <c r="AO105" s="153"/>
    </row>
    <row r="106" spans="7:41" ht="14.4" x14ac:dyDescent="0.3">
      <c r="G106" s="319">
        <f t="shared" si="79"/>
        <v>8409600</v>
      </c>
      <c r="H106" s="24">
        <f t="shared" si="74"/>
        <v>6</v>
      </c>
      <c r="I106" s="24">
        <v>4</v>
      </c>
      <c r="J106" s="24" t="s">
        <v>436</v>
      </c>
      <c r="K106" s="28">
        <f t="shared" si="80"/>
        <v>3126.7955880746367</v>
      </c>
      <c r="L106" s="28">
        <f t="shared" si="81"/>
        <v>1829.7698839576626</v>
      </c>
      <c r="M106" s="291">
        <f t="shared" si="82"/>
        <v>1297.0257041169741</v>
      </c>
      <c r="N106" s="290">
        <f t="shared" si="76"/>
        <v>371.81264127599843</v>
      </c>
      <c r="O106" s="290">
        <f t="shared" si="75"/>
        <v>217.58108399420456</v>
      </c>
      <c r="P106" s="317">
        <f t="shared" si="77"/>
        <v>154.2315572817939</v>
      </c>
      <c r="Q106" s="435">
        <f t="shared" si="78"/>
        <v>205.6420763757252</v>
      </c>
      <c r="T106" s="153"/>
      <c r="U106" s="153"/>
      <c r="V106" s="153"/>
      <c r="W106" s="153"/>
      <c r="X106" s="153"/>
      <c r="Y106" s="153"/>
      <c r="Z106" s="153"/>
      <c r="AA106" s="153"/>
      <c r="AB106" s="153"/>
      <c r="AC106" s="153"/>
      <c r="AD106" s="153"/>
      <c r="AE106" s="153"/>
      <c r="AF106" s="153"/>
      <c r="AG106" s="153"/>
      <c r="AH106" s="153"/>
      <c r="AI106" s="153"/>
      <c r="AJ106" s="153"/>
      <c r="AK106" s="153"/>
      <c r="AL106" s="153"/>
      <c r="AM106" s="153"/>
      <c r="AN106" s="153"/>
      <c r="AO106" s="153"/>
    </row>
    <row r="107" spans="7:41" ht="14.4" x14ac:dyDescent="0.3">
      <c r="G107" s="319">
        <f t="shared" si="79"/>
        <v>10512000</v>
      </c>
      <c r="H107" s="24">
        <f t="shared" si="74"/>
        <v>7</v>
      </c>
      <c r="I107" s="24">
        <v>5</v>
      </c>
      <c r="J107" s="24" t="s">
        <v>436</v>
      </c>
      <c r="K107" s="28">
        <f t="shared" si="80"/>
        <v>3559.1374894469614</v>
      </c>
      <c r="L107" s="28">
        <f t="shared" si="81"/>
        <v>1829.7698839576626</v>
      </c>
      <c r="M107" s="291">
        <f t="shared" si="82"/>
        <v>1729.3676054892987</v>
      </c>
      <c r="N107" s="290">
        <f t="shared" si="76"/>
        <v>338.57852829594384</v>
      </c>
      <c r="O107" s="290">
        <f t="shared" si="75"/>
        <v>174.06486719536366</v>
      </c>
      <c r="P107" s="317">
        <f t="shared" si="77"/>
        <v>164.51366110058018</v>
      </c>
      <c r="Q107" s="435">
        <f t="shared" si="78"/>
        <v>205.6420763757252</v>
      </c>
      <c r="T107" s="153"/>
      <c r="U107" s="153"/>
      <c r="V107" s="153"/>
      <c r="W107" s="153"/>
      <c r="X107" s="153"/>
      <c r="Y107" s="153"/>
      <c r="Z107" s="153"/>
      <c r="AA107" s="153"/>
      <c r="AB107" s="153"/>
      <c r="AC107" s="153"/>
      <c r="AD107" s="153"/>
      <c r="AE107" s="153"/>
      <c r="AF107" s="153"/>
      <c r="AG107" s="153"/>
      <c r="AH107" s="153"/>
      <c r="AI107" s="153"/>
      <c r="AJ107" s="153"/>
      <c r="AK107" s="153"/>
      <c r="AL107" s="153"/>
      <c r="AM107" s="153"/>
      <c r="AN107" s="153"/>
      <c r="AO107" s="153"/>
    </row>
    <row r="108" spans="7:41" ht="14.4" x14ac:dyDescent="0.3">
      <c r="G108" s="319">
        <f t="shared" si="79"/>
        <v>12614400</v>
      </c>
      <c r="H108" s="24">
        <f t="shared" si="74"/>
        <v>8</v>
      </c>
      <c r="I108" s="24">
        <v>6</v>
      </c>
      <c r="J108" s="24" t="s">
        <v>436</v>
      </c>
      <c r="K108" s="28">
        <f t="shared" si="80"/>
        <v>3991.479390819286</v>
      </c>
      <c r="L108" s="28">
        <f t="shared" si="81"/>
        <v>1829.7698839576626</v>
      </c>
      <c r="M108" s="291">
        <f t="shared" si="82"/>
        <v>2161.7095068616236</v>
      </c>
      <c r="N108" s="290">
        <f t="shared" si="76"/>
        <v>316.42245297590739</v>
      </c>
      <c r="O108" s="290">
        <f t="shared" si="75"/>
        <v>145.05405599613636</v>
      </c>
      <c r="P108" s="317">
        <f t="shared" si="77"/>
        <v>171.36839697977103</v>
      </c>
      <c r="Q108" s="435">
        <f t="shared" si="78"/>
        <v>205.6420763757252</v>
      </c>
      <c r="AN108" s="153"/>
      <c r="AO108" s="153"/>
    </row>
    <row r="109" spans="7:41" ht="14.4" x14ac:dyDescent="0.3">
      <c r="G109" s="319">
        <f t="shared" si="79"/>
        <v>14716800</v>
      </c>
      <c r="H109" s="24">
        <f t="shared" si="74"/>
        <v>9</v>
      </c>
      <c r="I109" s="24">
        <v>7</v>
      </c>
      <c r="J109" s="24" t="s">
        <v>436</v>
      </c>
      <c r="K109" s="28">
        <f t="shared" si="80"/>
        <v>4423.8212921916111</v>
      </c>
      <c r="L109" s="28">
        <f t="shared" si="81"/>
        <v>1829.7698839576626</v>
      </c>
      <c r="M109" s="291">
        <f t="shared" si="82"/>
        <v>2594.0514082339482</v>
      </c>
      <c r="N109" s="290">
        <f t="shared" si="76"/>
        <v>300.59668489016707</v>
      </c>
      <c r="O109" s="290">
        <f>IFERROR(L109/G109,0)*1000000</f>
        <v>124.3320479966883</v>
      </c>
      <c r="P109" s="317">
        <f t="shared" si="77"/>
        <v>176.26463689347878</v>
      </c>
      <c r="Q109" s="435">
        <f t="shared" si="78"/>
        <v>205.6420763757254</v>
      </c>
      <c r="AN109" s="153"/>
      <c r="AO109" s="153"/>
    </row>
    <row r="110" spans="7:41" ht="15" thickBot="1" x14ac:dyDescent="0.35">
      <c r="G110" s="331">
        <f t="shared" si="79"/>
        <v>16819200</v>
      </c>
      <c r="H110" s="322">
        <f t="shared" si="74"/>
        <v>10</v>
      </c>
      <c r="I110" s="322">
        <v>8</v>
      </c>
      <c r="J110" s="322" t="s">
        <v>436</v>
      </c>
      <c r="K110" s="323">
        <f t="shared" si="80"/>
        <v>4856.1631935639352</v>
      </c>
      <c r="L110" s="323">
        <f t="shared" si="81"/>
        <v>1829.7698839576626</v>
      </c>
      <c r="M110" s="324">
        <f t="shared" si="82"/>
        <v>3026.3933096062729</v>
      </c>
      <c r="N110" s="321">
        <f t="shared" si="76"/>
        <v>288.72735882586187</v>
      </c>
      <c r="O110" s="321">
        <f t="shared" si="75"/>
        <v>108.79054199710228</v>
      </c>
      <c r="P110" s="325">
        <f t="shared" si="77"/>
        <v>179.93681682875956</v>
      </c>
      <c r="Q110" s="436">
        <f t="shared" si="78"/>
        <v>205.64207637572497</v>
      </c>
      <c r="AN110" s="153"/>
      <c r="AO110" s="153"/>
    </row>
    <row r="111" spans="7:41" ht="14.4" x14ac:dyDescent="0.3">
      <c r="N111"/>
      <c r="O111"/>
      <c r="P111"/>
      <c r="Q111"/>
    </row>
    <row r="112" spans="7:41" ht="14.4" x14ac:dyDescent="0.3">
      <c r="N112"/>
      <c r="O112"/>
      <c r="P112"/>
      <c r="Q112"/>
    </row>
    <row r="113" spans="7:30" ht="14.4" x14ac:dyDescent="0.3">
      <c r="N113"/>
      <c r="O113"/>
      <c r="P113"/>
      <c r="Q113"/>
    </row>
    <row r="114" spans="7:30" ht="14.4" x14ac:dyDescent="0.3">
      <c r="N114"/>
      <c r="O114"/>
      <c r="P114"/>
      <c r="Q114"/>
    </row>
    <row r="115" spans="7:30" ht="14.4" x14ac:dyDescent="0.3">
      <c r="N115"/>
      <c r="O115"/>
      <c r="P115"/>
      <c r="Q115"/>
    </row>
    <row r="116" spans="7:30" ht="14.4" x14ac:dyDescent="0.3">
      <c r="N116"/>
      <c r="O116"/>
      <c r="P116"/>
      <c r="Q116"/>
    </row>
    <row r="117" spans="7:30" ht="14.4" x14ac:dyDescent="0.3">
      <c r="N117"/>
      <c r="O117"/>
      <c r="P117"/>
      <c r="Q117"/>
    </row>
    <row r="118" spans="7:30" ht="14.4" x14ac:dyDescent="0.3">
      <c r="N118"/>
      <c r="O118"/>
      <c r="P118"/>
      <c r="Q118"/>
    </row>
    <row r="119" spans="7:30" ht="14.4" x14ac:dyDescent="0.3">
      <c r="N119"/>
      <c r="O119"/>
      <c r="P119"/>
      <c r="Q119"/>
    </row>
    <row r="120" spans="7:30" ht="14.4" x14ac:dyDescent="0.3">
      <c r="N120"/>
      <c r="O120"/>
      <c r="P120"/>
      <c r="Q120"/>
    </row>
    <row r="121" spans="7:30" ht="14.4" x14ac:dyDescent="0.3">
      <c r="N121"/>
      <c r="O121"/>
      <c r="P121"/>
      <c r="Q121"/>
    </row>
    <row r="122" spans="7:30" ht="14.4" x14ac:dyDescent="0.3">
      <c r="N122"/>
      <c r="O122"/>
      <c r="P122"/>
      <c r="Q122"/>
    </row>
    <row r="123" spans="7:30" ht="14.4" x14ac:dyDescent="0.3">
      <c r="G123"/>
      <c r="H123"/>
      <c r="I123"/>
      <c r="J123"/>
      <c r="K123"/>
      <c r="L123"/>
      <c r="M123"/>
      <c r="N123"/>
      <c r="O123"/>
      <c r="P123"/>
      <c r="Q123"/>
      <c r="R123"/>
    </row>
    <row r="124" spans="7:30" x14ac:dyDescent="0.25">
      <c r="Q124" s="2"/>
      <c r="Z124" s="2"/>
      <c r="AA124" s="2"/>
      <c r="AB124" s="2"/>
      <c r="AC124" s="2"/>
      <c r="AD124" s="2"/>
    </row>
    <row r="125" spans="7:30" x14ac:dyDescent="0.25">
      <c r="Q125" s="2"/>
      <c r="Z125" s="2"/>
      <c r="AA125" s="2"/>
      <c r="AB125" s="2"/>
      <c r="AC125" s="2"/>
      <c r="AD125" s="2"/>
    </row>
    <row r="126" spans="7:30" x14ac:dyDescent="0.25">
      <c r="Q126" s="2"/>
      <c r="Z126" s="2"/>
      <c r="AA126" s="2"/>
      <c r="AB126" s="2"/>
      <c r="AC126" s="2"/>
      <c r="AD126" s="2"/>
    </row>
    <row r="127" spans="7:30" x14ac:dyDescent="0.25">
      <c r="Q127" s="2"/>
      <c r="Z127" s="2"/>
      <c r="AA127" s="2"/>
      <c r="AB127" s="2"/>
      <c r="AC127" s="2"/>
      <c r="AD127" s="2"/>
    </row>
    <row r="128" spans="7:30" x14ac:dyDescent="0.25">
      <c r="Q128" s="2"/>
      <c r="Z128" s="2"/>
      <c r="AA128" s="2"/>
      <c r="AB128" s="2"/>
      <c r="AC128" s="2"/>
      <c r="AD128" s="2"/>
    </row>
    <row r="129" spans="17:30" x14ac:dyDescent="0.25">
      <c r="Q129" s="2"/>
      <c r="Z129" s="2"/>
      <c r="AA129" s="2"/>
      <c r="AB129" s="2"/>
      <c r="AC129" s="2"/>
      <c r="AD129" s="2"/>
    </row>
    <row r="130" spans="17:30" x14ac:dyDescent="0.25">
      <c r="Q130" s="2"/>
      <c r="Z130" s="2"/>
      <c r="AA130" s="2"/>
      <c r="AB130" s="2"/>
      <c r="AC130" s="2"/>
      <c r="AD130" s="2"/>
    </row>
    <row r="131" spans="17:30" x14ac:dyDescent="0.25">
      <c r="Q131" s="2"/>
      <c r="Z131" s="2"/>
      <c r="AA131" s="2"/>
      <c r="AB131" s="2"/>
      <c r="AC131" s="2"/>
      <c r="AD131" s="2"/>
    </row>
    <row r="132" spans="17:30" x14ac:dyDescent="0.25">
      <c r="Q132" s="2"/>
      <c r="Z132" s="2"/>
      <c r="AA132" s="2"/>
      <c r="AB132" s="2"/>
      <c r="AC132" s="2"/>
      <c r="AD132" s="2"/>
    </row>
    <row r="133" spans="17:30" x14ac:dyDescent="0.25">
      <c r="Q133" s="2"/>
      <c r="Z133" s="2"/>
      <c r="AA133" s="2"/>
      <c r="AB133" s="2"/>
      <c r="AC133" s="2"/>
      <c r="AD133" s="2"/>
    </row>
    <row r="134" spans="17:30" x14ac:dyDescent="0.25">
      <c r="Q134" s="2"/>
      <c r="Z134" s="2"/>
      <c r="AA134" s="2"/>
      <c r="AB134" s="2"/>
      <c r="AC134" s="2"/>
      <c r="AD134" s="2"/>
    </row>
    <row r="135" spans="17:30" x14ac:dyDescent="0.25">
      <c r="Q135" s="2"/>
      <c r="Z135" s="2"/>
      <c r="AA135" s="2"/>
      <c r="AB135" s="2"/>
      <c r="AC135" s="2"/>
      <c r="AD135" s="2"/>
    </row>
    <row r="136" spans="17:30" x14ac:dyDescent="0.25">
      <c r="Q136" s="2"/>
      <c r="Z136" s="2"/>
      <c r="AA136" s="2"/>
      <c r="AB136" s="2"/>
      <c r="AC136" s="2"/>
      <c r="AD136" s="2"/>
    </row>
    <row r="137" spans="17:30" x14ac:dyDescent="0.25">
      <c r="Q137" s="2"/>
      <c r="Z137" s="2"/>
      <c r="AA137" s="2"/>
      <c r="AB137" s="2"/>
      <c r="AC137" s="2"/>
      <c r="AD137" s="2"/>
    </row>
    <row r="138" spans="17:30" x14ac:dyDescent="0.25">
      <c r="Q138" s="2"/>
      <c r="Z138" s="2"/>
      <c r="AA138" s="2"/>
      <c r="AB138" s="2"/>
      <c r="AC138" s="2"/>
      <c r="AD138" s="2"/>
    </row>
    <row r="139" spans="17:30" x14ac:dyDescent="0.25">
      <c r="Q139" s="2"/>
      <c r="Z139" s="2"/>
      <c r="AA139" s="2"/>
      <c r="AB139" s="2"/>
      <c r="AC139" s="2"/>
      <c r="AD139" s="2"/>
    </row>
    <row r="140" spans="17:30" x14ac:dyDescent="0.25">
      <c r="Q140" s="2"/>
      <c r="Z140" s="2"/>
      <c r="AA140" s="2"/>
      <c r="AB140" s="2"/>
      <c r="AC140" s="2"/>
      <c r="AD140" s="2"/>
    </row>
    <row r="141" spans="17:30" x14ac:dyDescent="0.25">
      <c r="Q141" s="2"/>
      <c r="Z141" s="2"/>
      <c r="AA141" s="2"/>
      <c r="AB141" s="2"/>
      <c r="AC141" s="2"/>
      <c r="AD141" s="2"/>
    </row>
    <row r="142" spans="17:30" x14ac:dyDescent="0.25">
      <c r="Q142" s="2"/>
      <c r="Z142" s="2"/>
      <c r="AA142" s="2"/>
      <c r="AB142" s="2"/>
      <c r="AC142" s="2"/>
      <c r="AD142" s="2"/>
    </row>
    <row r="143" spans="17:30" x14ac:dyDescent="0.25">
      <c r="Q143" s="2"/>
      <c r="Z143" s="2"/>
      <c r="AA143" s="2"/>
      <c r="AB143" s="2"/>
      <c r="AC143" s="2"/>
      <c r="AD143" s="2"/>
    </row>
    <row r="144" spans="17:30" x14ac:dyDescent="0.25">
      <c r="Q144" s="2"/>
      <c r="Z144" s="2"/>
      <c r="AA144" s="2"/>
      <c r="AB144" s="2"/>
      <c r="AC144" s="2"/>
      <c r="AD144" s="2"/>
    </row>
    <row r="145" spans="7:30" x14ac:dyDescent="0.25">
      <c r="Q145" s="2"/>
      <c r="Z145" s="2"/>
      <c r="AA145" s="2"/>
      <c r="AB145" s="2"/>
      <c r="AC145" s="2"/>
      <c r="AD145" s="2"/>
    </row>
    <row r="146" spans="7:30" x14ac:dyDescent="0.25">
      <c r="Q146" s="2"/>
      <c r="Z146" s="2"/>
      <c r="AA146" s="2"/>
      <c r="AB146" s="2"/>
      <c r="AC146" s="2"/>
      <c r="AD146" s="2"/>
    </row>
    <row r="147" spans="7:30" x14ac:dyDescent="0.25">
      <c r="Q147" s="2"/>
      <c r="Z147" s="2"/>
      <c r="AA147" s="2"/>
      <c r="AB147" s="2"/>
      <c r="AC147" s="2"/>
      <c r="AD147" s="2"/>
    </row>
    <row r="148" spans="7:30" x14ac:dyDescent="0.25">
      <c r="Q148" s="2"/>
      <c r="Z148" s="2"/>
      <c r="AA148" s="2"/>
      <c r="AB148" s="2"/>
      <c r="AC148" s="2"/>
      <c r="AD148" s="2"/>
    </row>
    <row r="149" spans="7:30" x14ac:dyDescent="0.25">
      <c r="Q149" s="2"/>
      <c r="Z149" s="2"/>
      <c r="AA149" s="2"/>
      <c r="AB149" s="2"/>
      <c r="AC149" s="2"/>
      <c r="AD149" s="2"/>
    </row>
    <row r="150" spans="7:30" x14ac:dyDescent="0.25">
      <c r="Q150" s="2"/>
      <c r="Z150" s="2"/>
      <c r="AA150" s="2"/>
      <c r="AB150" s="2"/>
      <c r="AC150" s="2"/>
      <c r="AD150" s="2"/>
    </row>
    <row r="151" spans="7:30" x14ac:dyDescent="0.25">
      <c r="Q151" s="2"/>
      <c r="Z151" s="2"/>
      <c r="AA151" s="2"/>
      <c r="AB151" s="2"/>
      <c r="AC151" s="2"/>
      <c r="AD151" s="2"/>
    </row>
    <row r="152" spans="7:30" x14ac:dyDescent="0.25">
      <c r="Q152" s="2"/>
      <c r="Z152" s="2"/>
      <c r="AA152" s="2"/>
      <c r="AB152" s="2"/>
      <c r="AC152" s="2"/>
      <c r="AD152" s="2"/>
    </row>
    <row r="153" spans="7:30" x14ac:dyDescent="0.25">
      <c r="Q153" s="2"/>
      <c r="Z153" s="2"/>
      <c r="AA153" s="2"/>
      <c r="AB153" s="2"/>
      <c r="AC153" s="2"/>
      <c r="AD153" s="2"/>
    </row>
    <row r="154" spans="7:30" x14ac:dyDescent="0.25">
      <c r="Q154" s="2"/>
      <c r="Z154" s="2"/>
      <c r="AA154" s="2"/>
      <c r="AB154" s="2"/>
      <c r="AC154" s="2"/>
      <c r="AD154" s="2"/>
    </row>
    <row r="155" spans="7:30" x14ac:dyDescent="0.25">
      <c r="G155" s="25"/>
      <c r="K155" s="301"/>
      <c r="L155" s="301"/>
      <c r="M155" s="301"/>
      <c r="N155" s="301"/>
      <c r="O155" s="301"/>
      <c r="P155" s="327"/>
      <c r="Q155" s="301"/>
    </row>
    <row r="156" spans="7:30" x14ac:dyDescent="0.25">
      <c r="G156" s="25"/>
      <c r="K156" s="301"/>
      <c r="L156" s="301"/>
      <c r="M156" s="301"/>
      <c r="N156" s="301"/>
      <c r="O156" s="301"/>
      <c r="P156" s="327"/>
      <c r="Q156" s="301"/>
    </row>
    <row r="161" spans="17:17" x14ac:dyDescent="0.25">
      <c r="Q161" s="2"/>
    </row>
    <row r="162" spans="17:17" x14ac:dyDescent="0.25">
      <c r="Q162" s="2"/>
    </row>
    <row r="163" spans="17:17" x14ac:dyDescent="0.25">
      <c r="Q163" s="2"/>
    </row>
    <row r="164" spans="17:17" x14ac:dyDescent="0.25">
      <c r="Q164" s="2"/>
    </row>
    <row r="165" spans="17:17" x14ac:dyDescent="0.25">
      <c r="Q165" s="2"/>
    </row>
  </sheetData>
  <mergeCells count="8">
    <mergeCell ref="G100:P100"/>
    <mergeCell ref="A1:E1"/>
    <mergeCell ref="G1:R1"/>
    <mergeCell ref="G25:R25"/>
    <mergeCell ref="T25:AM25"/>
    <mergeCell ref="T87:AM87"/>
    <mergeCell ref="G74:R74"/>
    <mergeCell ref="G87:R87"/>
  </mergeCells>
  <phoneticPr fontId="43" type="noConversion"/>
  <conditionalFormatting sqref="M52:M71">
    <cfRule type="dataBar" priority="13">
      <dataBar>
        <cfvo type="min"/>
        <cfvo type="max"/>
        <color rgb="FF638EC6"/>
      </dataBar>
      <extLst>
        <ext xmlns:x14="http://schemas.microsoft.com/office/spreadsheetml/2009/9/main" uri="{B025F937-C7B1-47D3-B67F-A62EFF666E3E}">
          <x14:id>{B809CE0A-13DA-456B-80D3-7D23407650F2}</x14:id>
        </ext>
      </extLst>
    </cfRule>
  </conditionalFormatting>
  <conditionalFormatting sqref="L52:L71">
    <cfRule type="dataBar" priority="12">
      <dataBar>
        <cfvo type="min"/>
        <cfvo type="max"/>
        <color rgb="FF63C384"/>
      </dataBar>
      <extLst>
        <ext xmlns:x14="http://schemas.microsoft.com/office/spreadsheetml/2009/9/main" uri="{B025F937-C7B1-47D3-B67F-A62EFF666E3E}">
          <x14:id>{17B742F3-AC6F-41EC-A82A-6BD07F1AC571}</x14:id>
        </ext>
      </extLst>
    </cfRule>
  </conditionalFormatting>
  <conditionalFormatting sqref="N52:N71">
    <cfRule type="dataBar" priority="10">
      <dataBar>
        <cfvo type="min"/>
        <cfvo type="max"/>
        <color rgb="FFFF555A"/>
      </dataBar>
      <extLst>
        <ext xmlns:x14="http://schemas.microsoft.com/office/spreadsheetml/2009/9/main" uri="{B025F937-C7B1-47D3-B67F-A62EFF666E3E}">
          <x14:id>{CE238F11-CFE2-4A15-B1EC-AD47BB97ADE7}</x14:id>
        </ext>
      </extLst>
    </cfRule>
  </conditionalFormatting>
  <conditionalFormatting sqref="O52:O71">
    <cfRule type="dataBar" priority="9">
      <dataBar>
        <cfvo type="min"/>
        <cfvo type="max"/>
        <color rgb="FF63C384"/>
      </dataBar>
      <extLst>
        <ext xmlns:x14="http://schemas.microsoft.com/office/spreadsheetml/2009/9/main" uri="{B025F937-C7B1-47D3-B67F-A62EFF666E3E}">
          <x14:id>{7546546A-41C4-4EDD-81EC-27568AF0AE5E}</x14:id>
        </ext>
      </extLst>
    </cfRule>
  </conditionalFormatting>
  <conditionalFormatting sqref="K51:O51 P51:P71">
    <cfRule type="dataBar" priority="8">
      <dataBar>
        <cfvo type="min"/>
        <cfvo type="max"/>
        <color rgb="FF638EC6"/>
      </dataBar>
      <extLst>
        <ext xmlns:x14="http://schemas.microsoft.com/office/spreadsheetml/2009/9/main" uri="{B025F937-C7B1-47D3-B67F-A62EFF666E3E}">
          <x14:id>{AED07AF6-9DC3-444A-AD05-90033094B85B}</x14:id>
        </ext>
      </extLst>
    </cfRule>
  </conditionalFormatting>
  <conditionalFormatting sqref="N103:N110">
    <cfRule type="dataBar" priority="7">
      <dataBar>
        <cfvo type="min"/>
        <cfvo type="max"/>
        <color rgb="FFFF555A"/>
      </dataBar>
      <extLst>
        <ext xmlns:x14="http://schemas.microsoft.com/office/spreadsheetml/2009/9/main" uri="{B025F937-C7B1-47D3-B67F-A62EFF666E3E}">
          <x14:id>{099831DC-FD12-4570-B34A-E80DD15DB135}</x14:id>
        </ext>
      </extLst>
    </cfRule>
  </conditionalFormatting>
  <conditionalFormatting sqref="O103:O110">
    <cfRule type="dataBar" priority="6">
      <dataBar>
        <cfvo type="min"/>
        <cfvo type="max"/>
        <color rgb="FF63C384"/>
      </dataBar>
      <extLst>
        <ext xmlns:x14="http://schemas.microsoft.com/office/spreadsheetml/2009/9/main" uri="{B025F937-C7B1-47D3-B67F-A62EFF666E3E}">
          <x14:id>{644ACD81-A6FC-4E19-9338-9B1D0720E1DD}</x14:id>
        </ext>
      </extLst>
    </cfRule>
  </conditionalFormatting>
  <conditionalFormatting sqref="P103:P110">
    <cfRule type="dataBar" priority="5">
      <dataBar>
        <cfvo type="min"/>
        <cfvo type="max"/>
        <color rgb="FF638EC6"/>
      </dataBar>
      <extLst>
        <ext xmlns:x14="http://schemas.microsoft.com/office/spreadsheetml/2009/9/main" uri="{B025F937-C7B1-47D3-B67F-A62EFF666E3E}">
          <x14:id>{D95F6831-1FC5-4D5B-BE56-0FA844DD08B1}</x14:id>
        </ext>
      </extLst>
    </cfRule>
  </conditionalFormatting>
  <conditionalFormatting sqref="K102:K110">
    <cfRule type="dataBar" priority="1">
      <dataBar>
        <cfvo type="min"/>
        <cfvo type="max"/>
        <color rgb="FFFF555A"/>
      </dataBar>
      <extLst>
        <ext xmlns:x14="http://schemas.microsoft.com/office/spreadsheetml/2009/9/main" uri="{B025F937-C7B1-47D3-B67F-A62EFF666E3E}">
          <x14:id>{13586026-D83D-4DAE-8566-7BDF1CEA50F7}</x14:id>
        </ext>
      </extLst>
    </cfRule>
  </conditionalFormatting>
  <conditionalFormatting sqref="L103:L110">
    <cfRule type="dataBar" priority="3">
      <dataBar>
        <cfvo type="min"/>
        <cfvo type="max"/>
        <color rgb="FF63C384"/>
      </dataBar>
      <extLst>
        <ext xmlns:x14="http://schemas.microsoft.com/office/spreadsheetml/2009/9/main" uri="{B025F937-C7B1-47D3-B67F-A62EFF666E3E}">
          <x14:id>{278C5373-2F97-455F-A3C9-BFF6166B4505}</x14:id>
        </ext>
      </extLst>
    </cfRule>
  </conditionalFormatting>
  <conditionalFormatting sqref="M103:M110">
    <cfRule type="dataBar" priority="2">
      <dataBar>
        <cfvo type="min"/>
        <cfvo type="max"/>
        <color rgb="FF638EC6"/>
      </dataBar>
      <extLst>
        <ext xmlns:x14="http://schemas.microsoft.com/office/spreadsheetml/2009/9/main" uri="{B025F937-C7B1-47D3-B67F-A62EFF666E3E}">
          <x14:id>{41AF4E25-1CBD-443C-B5A6-884A1969D327}</x14:id>
        </ext>
      </extLst>
    </cfRule>
  </conditionalFormatting>
  <conditionalFormatting sqref="K52:K71 Q51">
    <cfRule type="dataBar" priority="14">
      <dataBar>
        <cfvo type="min"/>
        <cfvo type="max"/>
        <color rgb="FFFF555A"/>
      </dataBar>
      <extLst>
        <ext xmlns:x14="http://schemas.microsoft.com/office/spreadsheetml/2009/9/main" uri="{B025F937-C7B1-47D3-B67F-A62EFF666E3E}">
          <x14:id>{FE2241AE-B874-4483-BA87-680227D94898}</x14:id>
        </ext>
      </extLst>
    </cfRule>
  </conditionalFormatting>
  <pageMargins left="0.7" right="0.7" top="0.75" bottom="0.75" header="0.3" footer="0.3"/>
  <pageSetup orientation="portrait" r:id="rId1"/>
  <drawing r:id="rId2"/>
  <extLst>
    <ext xmlns:x14="http://schemas.microsoft.com/office/spreadsheetml/2009/9/main" uri="{78C0D931-6437-407d-A8EE-F0AAD7539E65}">
      <x14:conditionalFormattings>
        <x14:conditionalFormatting xmlns:xm="http://schemas.microsoft.com/office/excel/2006/main">
          <x14:cfRule type="dataBar" id="{B809CE0A-13DA-456B-80D3-7D23407650F2}">
            <x14:dataBar minLength="0" maxLength="100" border="1" negativeBarBorderColorSameAsPositive="0">
              <x14:cfvo type="autoMin"/>
              <x14:cfvo type="autoMax"/>
              <x14:borderColor rgb="FF638EC6"/>
              <x14:negativeFillColor rgb="FFFF0000"/>
              <x14:negativeBorderColor rgb="FFFF0000"/>
              <x14:axisColor rgb="FF000000"/>
            </x14:dataBar>
          </x14:cfRule>
          <xm:sqref>M52:M71</xm:sqref>
        </x14:conditionalFormatting>
        <x14:conditionalFormatting xmlns:xm="http://schemas.microsoft.com/office/excel/2006/main">
          <x14:cfRule type="dataBar" id="{17B742F3-AC6F-41EC-A82A-6BD07F1AC571}">
            <x14:dataBar minLength="0" maxLength="100" border="1" negativeBarBorderColorSameAsPositive="0">
              <x14:cfvo type="autoMin"/>
              <x14:cfvo type="autoMax"/>
              <x14:borderColor rgb="FF63C384"/>
              <x14:negativeFillColor rgb="FFFF0000"/>
              <x14:negativeBorderColor rgb="FFFF0000"/>
              <x14:axisColor rgb="FF000000"/>
            </x14:dataBar>
          </x14:cfRule>
          <xm:sqref>L52:L71</xm:sqref>
        </x14:conditionalFormatting>
        <x14:conditionalFormatting xmlns:xm="http://schemas.microsoft.com/office/excel/2006/main">
          <x14:cfRule type="dataBar" id="{CE238F11-CFE2-4A15-B1EC-AD47BB97ADE7}">
            <x14:dataBar minLength="0" maxLength="100" border="1" negativeBarBorderColorSameAsPositive="0">
              <x14:cfvo type="autoMin"/>
              <x14:cfvo type="autoMax"/>
              <x14:borderColor rgb="FFFF555A"/>
              <x14:negativeFillColor rgb="FFFF0000"/>
              <x14:negativeBorderColor rgb="FFFF0000"/>
              <x14:axisColor rgb="FF000000"/>
            </x14:dataBar>
          </x14:cfRule>
          <xm:sqref>N52:N71</xm:sqref>
        </x14:conditionalFormatting>
        <x14:conditionalFormatting xmlns:xm="http://schemas.microsoft.com/office/excel/2006/main">
          <x14:cfRule type="dataBar" id="{7546546A-41C4-4EDD-81EC-27568AF0AE5E}">
            <x14:dataBar minLength="0" maxLength="100" border="1" negativeBarBorderColorSameAsPositive="0">
              <x14:cfvo type="autoMin"/>
              <x14:cfvo type="autoMax"/>
              <x14:borderColor rgb="FF63C384"/>
              <x14:negativeFillColor rgb="FFFF0000"/>
              <x14:negativeBorderColor rgb="FFFF0000"/>
              <x14:axisColor rgb="FF000000"/>
            </x14:dataBar>
          </x14:cfRule>
          <xm:sqref>O52:O71</xm:sqref>
        </x14:conditionalFormatting>
        <x14:conditionalFormatting xmlns:xm="http://schemas.microsoft.com/office/excel/2006/main">
          <x14:cfRule type="dataBar" id="{AED07AF6-9DC3-444A-AD05-90033094B85B}">
            <x14:dataBar minLength="0" maxLength="100" border="1" negativeBarBorderColorSameAsPositive="0">
              <x14:cfvo type="autoMin"/>
              <x14:cfvo type="autoMax"/>
              <x14:borderColor rgb="FF638EC6"/>
              <x14:negativeFillColor rgb="FFFF0000"/>
              <x14:negativeBorderColor rgb="FFFF0000"/>
              <x14:axisColor rgb="FF000000"/>
            </x14:dataBar>
          </x14:cfRule>
          <xm:sqref>K51:O51 P51:P71</xm:sqref>
        </x14:conditionalFormatting>
        <x14:conditionalFormatting xmlns:xm="http://schemas.microsoft.com/office/excel/2006/main">
          <x14:cfRule type="dataBar" id="{099831DC-FD12-4570-B34A-E80DD15DB135}">
            <x14:dataBar minLength="0" maxLength="100" border="1" negativeBarBorderColorSameAsPositive="0">
              <x14:cfvo type="autoMin"/>
              <x14:cfvo type="autoMax"/>
              <x14:borderColor rgb="FFFF555A"/>
              <x14:negativeFillColor rgb="FFFF0000"/>
              <x14:negativeBorderColor rgb="FFFF0000"/>
              <x14:axisColor rgb="FF000000"/>
            </x14:dataBar>
          </x14:cfRule>
          <xm:sqref>N103:N110</xm:sqref>
        </x14:conditionalFormatting>
        <x14:conditionalFormatting xmlns:xm="http://schemas.microsoft.com/office/excel/2006/main">
          <x14:cfRule type="dataBar" id="{644ACD81-A6FC-4E19-9338-9B1D0720E1DD}">
            <x14:dataBar minLength="0" maxLength="100" border="1" negativeBarBorderColorSameAsPositive="0">
              <x14:cfvo type="autoMin"/>
              <x14:cfvo type="autoMax"/>
              <x14:borderColor rgb="FF63C384"/>
              <x14:negativeFillColor rgb="FFFF0000"/>
              <x14:negativeBorderColor rgb="FFFF0000"/>
              <x14:axisColor rgb="FF000000"/>
            </x14:dataBar>
          </x14:cfRule>
          <xm:sqref>O103:O110</xm:sqref>
        </x14:conditionalFormatting>
        <x14:conditionalFormatting xmlns:xm="http://schemas.microsoft.com/office/excel/2006/main">
          <x14:cfRule type="dataBar" id="{D95F6831-1FC5-4D5B-BE56-0FA844DD08B1}">
            <x14:dataBar minLength="0" maxLength="100" border="1" negativeBarBorderColorSameAsPositive="0">
              <x14:cfvo type="autoMin"/>
              <x14:cfvo type="autoMax"/>
              <x14:borderColor rgb="FF638EC6"/>
              <x14:negativeFillColor rgb="FFFF0000"/>
              <x14:negativeBorderColor rgb="FFFF0000"/>
              <x14:axisColor rgb="FF000000"/>
            </x14:dataBar>
          </x14:cfRule>
          <xm:sqref>P103:P110</xm:sqref>
        </x14:conditionalFormatting>
        <x14:conditionalFormatting xmlns:xm="http://schemas.microsoft.com/office/excel/2006/main">
          <x14:cfRule type="dataBar" id="{13586026-D83D-4DAE-8566-7BDF1CEA50F7}">
            <x14:dataBar minLength="0" maxLength="100" border="1" negativeBarBorderColorSameAsPositive="0">
              <x14:cfvo type="autoMin"/>
              <x14:cfvo type="autoMax"/>
              <x14:borderColor rgb="FFFF555A"/>
              <x14:negativeFillColor rgb="FFFF0000"/>
              <x14:negativeBorderColor rgb="FFFF0000"/>
              <x14:axisColor rgb="FF000000"/>
            </x14:dataBar>
          </x14:cfRule>
          <xm:sqref>K102:K110</xm:sqref>
        </x14:conditionalFormatting>
        <x14:conditionalFormatting xmlns:xm="http://schemas.microsoft.com/office/excel/2006/main">
          <x14:cfRule type="dataBar" id="{278C5373-2F97-455F-A3C9-BFF6166B4505}">
            <x14:dataBar minLength="0" maxLength="100" border="1" negativeBarBorderColorSameAsPositive="0">
              <x14:cfvo type="autoMin"/>
              <x14:cfvo type="autoMax"/>
              <x14:borderColor rgb="FF63C384"/>
              <x14:negativeFillColor rgb="FFFF0000"/>
              <x14:negativeBorderColor rgb="FFFF0000"/>
              <x14:axisColor rgb="FF000000"/>
            </x14:dataBar>
          </x14:cfRule>
          <xm:sqref>L103:L110</xm:sqref>
        </x14:conditionalFormatting>
        <x14:conditionalFormatting xmlns:xm="http://schemas.microsoft.com/office/excel/2006/main">
          <x14:cfRule type="dataBar" id="{41AF4E25-1CBD-443C-B5A6-884A1969D327}">
            <x14:dataBar minLength="0" maxLength="100" border="1" negativeBarBorderColorSameAsPositive="0">
              <x14:cfvo type="autoMin"/>
              <x14:cfvo type="autoMax"/>
              <x14:borderColor rgb="FF638EC6"/>
              <x14:negativeFillColor rgb="FFFF0000"/>
              <x14:negativeBorderColor rgb="FFFF0000"/>
              <x14:axisColor rgb="FF000000"/>
            </x14:dataBar>
          </x14:cfRule>
          <xm:sqref>M103:M110</xm:sqref>
        </x14:conditionalFormatting>
        <x14:conditionalFormatting xmlns:xm="http://schemas.microsoft.com/office/excel/2006/main">
          <x14:cfRule type="dataBar" id="{FE2241AE-B874-4483-BA87-680227D94898}">
            <x14:dataBar minLength="0" maxLength="100" border="1" negativeBarBorderColorSameAsPositive="0">
              <x14:cfvo type="autoMin"/>
              <x14:cfvo type="autoMax"/>
              <x14:borderColor rgb="FFFF555A"/>
              <x14:negativeFillColor rgb="FFFF0000"/>
              <x14:negativeBorderColor rgb="FFFF0000"/>
              <x14:axisColor rgb="FF000000"/>
            </x14:dataBar>
          </x14:cfRule>
          <xm:sqref>K52:K71 Q51</xm:sqref>
        </x14:conditionalFormatting>
      </x14:conditionalFormatting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825219-EA98-4161-9BB2-303371CA7C90}">
  <sheetPr>
    <tabColor rgb="FFFFC000"/>
  </sheetPr>
  <dimension ref="A1:AM81"/>
  <sheetViews>
    <sheetView zoomScale="55" zoomScaleNormal="55" workbookViewId="0">
      <selection activeCell="C21" sqref="C21"/>
    </sheetView>
  </sheetViews>
  <sheetFormatPr defaultRowHeight="13.8" x14ac:dyDescent="0.25"/>
  <cols>
    <col min="1" max="1" width="33.88671875" style="107" customWidth="1"/>
    <col min="2" max="2" width="15.5546875" style="2" bestFit="1" customWidth="1"/>
    <col min="3" max="3" width="16.44140625" style="2" bestFit="1" customWidth="1"/>
    <col min="4" max="4" width="18.109375" style="2" customWidth="1"/>
    <col min="5" max="5" width="8.88671875" style="2"/>
    <col min="6" max="6" width="12.88671875" style="2" bestFit="1" customWidth="1"/>
    <col min="7" max="7" width="16" style="2" customWidth="1"/>
    <col min="8" max="8" width="18.44140625" style="2" bestFit="1" customWidth="1"/>
    <col min="9" max="9" width="18.88671875" style="2" bestFit="1" customWidth="1"/>
    <col min="10" max="10" width="31.77734375" style="2" customWidth="1"/>
    <col min="11" max="11" width="27.33203125" style="2" bestFit="1" customWidth="1"/>
    <col min="12" max="12" width="28.77734375" style="2" bestFit="1" customWidth="1"/>
    <col min="13" max="13" width="25.33203125" style="2" customWidth="1"/>
    <col min="14" max="14" width="13.44140625" style="2" customWidth="1"/>
    <col min="15" max="15" width="13.77734375" style="2" customWidth="1"/>
    <col min="16" max="16" width="13.44140625" style="2" bestFit="1" customWidth="1"/>
    <col min="17" max="38" width="8.88671875" style="2"/>
    <col min="39" max="39" width="12.88671875" style="2" bestFit="1" customWidth="1"/>
    <col min="40" max="16384" width="8.88671875" style="2"/>
  </cols>
  <sheetData>
    <row r="1" spans="1:39" ht="15" customHeight="1" x14ac:dyDescent="0.25">
      <c r="A1" s="522" t="s">
        <v>464</v>
      </c>
      <c r="B1" s="522"/>
      <c r="C1" s="522"/>
      <c r="F1" s="520" t="s">
        <v>465</v>
      </c>
      <c r="G1" s="520"/>
      <c r="H1" s="520"/>
      <c r="I1" s="520"/>
      <c r="J1" s="520"/>
      <c r="K1" s="520"/>
      <c r="L1" s="520"/>
      <c r="M1" s="520"/>
      <c r="N1" s="520"/>
      <c r="O1" s="520"/>
      <c r="P1" s="520"/>
    </row>
    <row r="2" spans="1:39" ht="27.6" x14ac:dyDescent="0.25">
      <c r="A2" s="283" t="s">
        <v>385</v>
      </c>
      <c r="B2" s="283" t="s">
        <v>9</v>
      </c>
      <c r="C2" s="283" t="s">
        <v>8</v>
      </c>
      <c r="D2" s="123" t="s">
        <v>154</v>
      </c>
      <c r="F2" s="281" t="s">
        <v>372</v>
      </c>
      <c r="G2" s="281" t="s">
        <v>479</v>
      </c>
      <c r="H2" s="281" t="s">
        <v>466</v>
      </c>
      <c r="I2" s="281" t="s">
        <v>144</v>
      </c>
      <c r="J2" s="281" t="s">
        <v>145</v>
      </c>
      <c r="K2" s="123" t="s">
        <v>146</v>
      </c>
      <c r="L2" s="123" t="s">
        <v>158</v>
      </c>
      <c r="M2" s="123" t="s">
        <v>395</v>
      </c>
      <c r="N2" s="123" t="s">
        <v>406</v>
      </c>
      <c r="O2" s="123" t="s">
        <v>397</v>
      </c>
      <c r="P2" s="123" t="s">
        <v>147</v>
      </c>
    </row>
    <row r="3" spans="1:39" x14ac:dyDescent="0.25">
      <c r="A3" s="283" t="s">
        <v>467</v>
      </c>
      <c r="B3" s="166">
        <v>20</v>
      </c>
      <c r="C3" s="91" t="s">
        <v>399</v>
      </c>
      <c r="D3" s="277" t="s">
        <v>150</v>
      </c>
      <c r="F3" s="104">
        <v>0</v>
      </c>
      <c r="G3" s="104">
        <v>0</v>
      </c>
      <c r="H3" s="104">
        <v>0</v>
      </c>
      <c r="I3" s="104">
        <v>0</v>
      </c>
      <c r="J3" s="104">
        <v>0</v>
      </c>
      <c r="K3" s="104">
        <v>0</v>
      </c>
      <c r="L3" s="104">
        <v>0</v>
      </c>
      <c r="M3" s="104">
        <v>0</v>
      </c>
      <c r="N3" s="104">
        <v>0</v>
      </c>
      <c r="O3" s="104">
        <v>0</v>
      </c>
      <c r="P3" s="104">
        <v>0</v>
      </c>
    </row>
    <row r="4" spans="1:39" ht="14.4" x14ac:dyDescent="0.3">
      <c r="A4" s="283" t="s">
        <v>144</v>
      </c>
      <c r="B4" s="332">
        <v>0.2</v>
      </c>
      <c r="C4" s="91" t="s">
        <v>399</v>
      </c>
      <c r="D4" s="277" t="s">
        <v>150</v>
      </c>
      <c r="E4" s="153"/>
      <c r="F4" s="290">
        <v>525600</v>
      </c>
      <c r="G4" s="24">
        <v>1</v>
      </c>
      <c r="H4" s="104">
        <v>1</v>
      </c>
      <c r="I4" s="24">
        <v>1</v>
      </c>
      <c r="J4" s="24">
        <v>1</v>
      </c>
      <c r="K4" s="24">
        <f>J4*10</f>
        <v>10</v>
      </c>
      <c r="L4" s="24">
        <v>1</v>
      </c>
      <c r="M4" s="24">
        <v>50</v>
      </c>
      <c r="N4" s="328">
        <v>1</v>
      </c>
      <c r="O4" s="291">
        <f t="shared" ref="O4:O13" si="0">$B$10</f>
        <v>10</v>
      </c>
      <c r="P4" s="306">
        <v>10</v>
      </c>
    </row>
    <row r="5" spans="1:39" ht="14.4" x14ac:dyDescent="0.3">
      <c r="A5" s="281" t="s">
        <v>145</v>
      </c>
      <c r="B5" s="333">
        <v>2</v>
      </c>
      <c r="C5" s="91" t="s">
        <v>399</v>
      </c>
      <c r="D5" s="277" t="s">
        <v>150</v>
      </c>
      <c r="E5" s="153"/>
      <c r="F5" s="291">
        <f>$F$4+F4</f>
        <v>1051200</v>
      </c>
      <c r="G5" s="24">
        <v>2</v>
      </c>
      <c r="H5" s="24">
        <v>1</v>
      </c>
      <c r="I5" s="24">
        <v>0</v>
      </c>
      <c r="J5" s="24">
        <v>0</v>
      </c>
      <c r="K5" s="24">
        <f t="shared" ref="K5:K13" si="1">J5*10</f>
        <v>0</v>
      </c>
      <c r="L5" s="24">
        <v>0</v>
      </c>
      <c r="M5" s="24">
        <v>0</v>
      </c>
      <c r="N5" s="328">
        <v>1</v>
      </c>
      <c r="O5" s="291">
        <f t="shared" si="0"/>
        <v>10</v>
      </c>
      <c r="P5" s="306">
        <v>1</v>
      </c>
    </row>
    <row r="6" spans="1:39" ht="14.4" x14ac:dyDescent="0.3">
      <c r="A6" s="123" t="s">
        <v>146</v>
      </c>
      <c r="B6" s="334">
        <v>0.02</v>
      </c>
      <c r="C6" s="91" t="s">
        <v>403</v>
      </c>
      <c r="D6" s="277" t="s">
        <v>150</v>
      </c>
      <c r="E6" s="153"/>
      <c r="F6" s="291">
        <f t="shared" ref="F6:F13" si="2">$F$4+F5</f>
        <v>1576800</v>
      </c>
      <c r="G6" s="24">
        <v>3</v>
      </c>
      <c r="H6" s="24">
        <v>1</v>
      </c>
      <c r="I6" s="24">
        <v>0</v>
      </c>
      <c r="J6" s="24">
        <v>0</v>
      </c>
      <c r="K6" s="24">
        <f t="shared" si="1"/>
        <v>0</v>
      </c>
      <c r="L6" s="24">
        <v>0</v>
      </c>
      <c r="M6" s="24">
        <v>0</v>
      </c>
      <c r="N6" s="328">
        <v>1</v>
      </c>
      <c r="O6" s="291">
        <f t="shared" si="0"/>
        <v>10</v>
      </c>
      <c r="P6" s="306">
        <v>1</v>
      </c>
    </row>
    <row r="7" spans="1:39" ht="14.4" x14ac:dyDescent="0.3">
      <c r="A7" s="123" t="s">
        <v>158</v>
      </c>
      <c r="B7" s="335">
        <v>0.5</v>
      </c>
      <c r="C7" s="277" t="s">
        <v>468</v>
      </c>
      <c r="D7" s="277" t="s">
        <v>150</v>
      </c>
      <c r="E7" s="153"/>
      <c r="F7" s="291">
        <f t="shared" si="2"/>
        <v>2102400</v>
      </c>
      <c r="G7" s="24">
        <v>4</v>
      </c>
      <c r="H7" s="24">
        <v>1</v>
      </c>
      <c r="I7" s="24">
        <v>0</v>
      </c>
      <c r="J7" s="24">
        <v>0</v>
      </c>
      <c r="K7" s="24">
        <f t="shared" si="1"/>
        <v>0</v>
      </c>
      <c r="L7" s="24">
        <v>0</v>
      </c>
      <c r="M7" s="24">
        <v>0</v>
      </c>
      <c r="N7" s="328">
        <v>1</v>
      </c>
      <c r="O7" s="291">
        <f t="shared" si="0"/>
        <v>10</v>
      </c>
      <c r="P7" s="306">
        <v>1</v>
      </c>
    </row>
    <row r="8" spans="1:39" ht="14.4" x14ac:dyDescent="0.3">
      <c r="A8" s="341" t="s">
        <v>457</v>
      </c>
      <c r="B8" s="342">
        <v>0</v>
      </c>
      <c r="C8" s="293" t="s">
        <v>405</v>
      </c>
      <c r="D8" s="343" t="s">
        <v>150</v>
      </c>
      <c r="E8" s="153"/>
      <c r="F8" s="291">
        <f t="shared" si="2"/>
        <v>2628000</v>
      </c>
      <c r="G8" s="24">
        <v>5</v>
      </c>
      <c r="H8" s="24">
        <v>1</v>
      </c>
      <c r="I8" s="24">
        <v>0</v>
      </c>
      <c r="J8" s="24">
        <v>0</v>
      </c>
      <c r="K8" s="24">
        <f t="shared" si="1"/>
        <v>0</v>
      </c>
      <c r="L8" s="24">
        <v>0</v>
      </c>
      <c r="M8" s="24">
        <v>0</v>
      </c>
      <c r="N8" s="328">
        <v>1</v>
      </c>
      <c r="O8" s="291">
        <f t="shared" si="0"/>
        <v>10</v>
      </c>
      <c r="P8" s="306">
        <v>1</v>
      </c>
    </row>
    <row r="9" spans="1:39" ht="14.4" x14ac:dyDescent="0.3">
      <c r="A9" s="123" t="s">
        <v>406</v>
      </c>
      <c r="B9" s="335">
        <v>0.1</v>
      </c>
      <c r="C9" s="277" t="s">
        <v>469</v>
      </c>
      <c r="D9" s="277" t="s">
        <v>151</v>
      </c>
      <c r="E9" s="153"/>
      <c r="F9" s="291">
        <f t="shared" si="2"/>
        <v>3153600</v>
      </c>
      <c r="G9" s="24">
        <v>6</v>
      </c>
      <c r="H9" s="24">
        <v>1</v>
      </c>
      <c r="I9" s="24">
        <v>0</v>
      </c>
      <c r="J9" s="24">
        <v>0</v>
      </c>
      <c r="K9" s="24">
        <f t="shared" si="1"/>
        <v>0</v>
      </c>
      <c r="L9" s="24">
        <v>0</v>
      </c>
      <c r="M9" s="24">
        <v>0</v>
      </c>
      <c r="N9" s="328">
        <v>1</v>
      </c>
      <c r="O9" s="291">
        <f t="shared" si="0"/>
        <v>10</v>
      </c>
      <c r="P9" s="306">
        <v>1</v>
      </c>
    </row>
    <row r="10" spans="1:39" ht="14.4" x14ac:dyDescent="0.3">
      <c r="A10" s="123" t="s">
        <v>470</v>
      </c>
      <c r="B10" s="336">
        <v>10</v>
      </c>
      <c r="C10" s="91" t="s">
        <v>409</v>
      </c>
      <c r="D10" s="277" t="s">
        <v>151</v>
      </c>
      <c r="E10" s="153"/>
      <c r="F10" s="291">
        <f t="shared" si="2"/>
        <v>3679200</v>
      </c>
      <c r="G10" s="24">
        <v>7</v>
      </c>
      <c r="H10" s="24">
        <v>1</v>
      </c>
      <c r="I10" s="24">
        <v>0</v>
      </c>
      <c r="J10" s="24">
        <v>0</v>
      </c>
      <c r="K10" s="24">
        <f t="shared" si="1"/>
        <v>0</v>
      </c>
      <c r="L10" s="24">
        <v>0</v>
      </c>
      <c r="M10" s="24">
        <v>0</v>
      </c>
      <c r="N10" s="328">
        <v>1</v>
      </c>
      <c r="O10" s="291">
        <f t="shared" si="0"/>
        <v>10</v>
      </c>
      <c r="P10" s="306">
        <v>1</v>
      </c>
    </row>
    <row r="11" spans="1:39" ht="14.4" x14ac:dyDescent="0.3">
      <c r="A11" s="123" t="s">
        <v>147</v>
      </c>
      <c r="B11" s="334">
        <v>0.19</v>
      </c>
      <c r="C11" s="91" t="s">
        <v>410</v>
      </c>
      <c r="D11" s="277" t="s">
        <v>151</v>
      </c>
      <c r="E11" s="153"/>
      <c r="F11" s="291">
        <f t="shared" si="2"/>
        <v>4204800</v>
      </c>
      <c r="G11" s="24">
        <v>8</v>
      </c>
      <c r="H11" s="24">
        <v>1</v>
      </c>
      <c r="I11" s="24">
        <v>0</v>
      </c>
      <c r="J11" s="24">
        <v>0</v>
      </c>
      <c r="K11" s="24">
        <f t="shared" si="1"/>
        <v>0</v>
      </c>
      <c r="L11" s="24">
        <v>0</v>
      </c>
      <c r="M11" s="24">
        <v>0</v>
      </c>
      <c r="N11" s="328">
        <v>1</v>
      </c>
      <c r="O11" s="291">
        <f t="shared" si="0"/>
        <v>10</v>
      </c>
      <c r="P11" s="306">
        <v>1</v>
      </c>
    </row>
    <row r="12" spans="1:39" ht="15" thickBot="1" x14ac:dyDescent="0.35">
      <c r="A12" s="123" t="s">
        <v>148</v>
      </c>
      <c r="B12" s="337">
        <v>3</v>
      </c>
      <c r="C12" s="296" t="s">
        <v>411</v>
      </c>
      <c r="D12" s="277" t="s">
        <v>5</v>
      </c>
      <c r="E12" s="153"/>
      <c r="F12" s="291">
        <f t="shared" si="2"/>
        <v>4730400</v>
      </c>
      <c r="G12" s="24">
        <v>9</v>
      </c>
      <c r="H12" s="24">
        <v>1</v>
      </c>
      <c r="I12" s="24">
        <v>0</v>
      </c>
      <c r="J12" s="24">
        <v>0</v>
      </c>
      <c r="K12" s="24">
        <f t="shared" si="1"/>
        <v>0</v>
      </c>
      <c r="L12" s="24">
        <v>0</v>
      </c>
      <c r="M12" s="24">
        <v>0</v>
      </c>
      <c r="N12" s="328">
        <v>1</v>
      </c>
      <c r="O12" s="291">
        <f t="shared" si="0"/>
        <v>10</v>
      </c>
      <c r="P12" s="306">
        <v>1</v>
      </c>
    </row>
    <row r="13" spans="1:39" x14ac:dyDescent="0.25">
      <c r="A13" s="2"/>
      <c r="F13" s="291">
        <f t="shared" si="2"/>
        <v>5256000</v>
      </c>
      <c r="G13" s="24">
        <v>10</v>
      </c>
      <c r="H13" s="24">
        <v>1</v>
      </c>
      <c r="I13" s="24">
        <v>0</v>
      </c>
      <c r="J13" s="24">
        <v>0</v>
      </c>
      <c r="K13" s="24">
        <f t="shared" si="1"/>
        <v>0</v>
      </c>
      <c r="L13" s="24">
        <v>0</v>
      </c>
      <c r="M13" s="24">
        <v>0</v>
      </c>
      <c r="N13" s="328">
        <v>1</v>
      </c>
      <c r="O13" s="291">
        <f t="shared" si="0"/>
        <v>10</v>
      </c>
      <c r="P13" s="306">
        <v>1</v>
      </c>
    </row>
    <row r="14" spans="1:39" ht="14.4" x14ac:dyDescent="0.3">
      <c r="A14" s="153"/>
      <c r="B14" s="153"/>
      <c r="C14" s="153"/>
      <c r="D14" s="153"/>
    </row>
    <row r="15" spans="1:39" ht="13.8" customHeight="1" x14ac:dyDescent="0.25">
      <c r="A15" s="2"/>
      <c r="F15" s="520" t="s">
        <v>471</v>
      </c>
      <c r="G15" s="520"/>
      <c r="H15" s="520"/>
      <c r="I15" s="520"/>
      <c r="J15" s="520"/>
      <c r="K15" s="520"/>
      <c r="L15" s="520"/>
      <c r="M15" s="520"/>
      <c r="N15" s="520"/>
      <c r="O15" s="520"/>
      <c r="P15" s="520"/>
      <c r="R15" s="520" t="s">
        <v>424</v>
      </c>
      <c r="S15" s="520"/>
      <c r="T15" s="520"/>
      <c r="U15" s="520"/>
      <c r="V15" s="520"/>
      <c r="W15" s="520"/>
      <c r="X15" s="520"/>
      <c r="Y15" s="520"/>
      <c r="Z15" s="520"/>
      <c r="AA15" s="520"/>
      <c r="AB15" s="520"/>
      <c r="AC15" s="520"/>
      <c r="AD15" s="520"/>
      <c r="AE15" s="520"/>
      <c r="AF15" s="520"/>
      <c r="AG15" s="520"/>
      <c r="AH15" s="520"/>
      <c r="AI15" s="520"/>
      <c r="AJ15" s="520"/>
      <c r="AK15" s="520"/>
    </row>
    <row r="16" spans="1:39" ht="27.6" x14ac:dyDescent="0.25">
      <c r="A16" s="2"/>
      <c r="F16" s="378" t="s">
        <v>372</v>
      </c>
      <c r="G16" s="378" t="s">
        <v>390</v>
      </c>
      <c r="H16" s="378" t="s">
        <v>466</v>
      </c>
      <c r="I16" s="378" t="s">
        <v>144</v>
      </c>
      <c r="J16" s="378" t="s">
        <v>145</v>
      </c>
      <c r="K16" s="123" t="s">
        <v>146</v>
      </c>
      <c r="L16" s="123" t="s">
        <v>158</v>
      </c>
      <c r="M16" s="123" t="s">
        <v>457</v>
      </c>
      <c r="N16" s="123" t="s">
        <v>406</v>
      </c>
      <c r="O16" s="123" t="s">
        <v>397</v>
      </c>
      <c r="P16" s="123" t="s">
        <v>147</v>
      </c>
      <c r="R16" s="304">
        <v>2024</v>
      </c>
      <c r="S16" s="304">
        <v>2025</v>
      </c>
      <c r="T16" s="304">
        <v>2026</v>
      </c>
      <c r="U16" s="304">
        <v>2027</v>
      </c>
      <c r="V16" s="304">
        <v>2028</v>
      </c>
      <c r="W16" s="304">
        <v>2029</v>
      </c>
      <c r="X16" s="304">
        <v>2030</v>
      </c>
      <c r="Y16" s="304">
        <v>2031</v>
      </c>
      <c r="Z16" s="304">
        <v>2032</v>
      </c>
      <c r="AA16" s="304">
        <v>2033</v>
      </c>
      <c r="AB16" s="304">
        <v>2034</v>
      </c>
      <c r="AC16" s="304">
        <v>2035</v>
      </c>
      <c r="AD16" s="304">
        <v>2036</v>
      </c>
      <c r="AE16" s="304">
        <v>2037</v>
      </c>
      <c r="AF16" s="304">
        <v>2038</v>
      </c>
      <c r="AG16" s="304">
        <v>2039</v>
      </c>
      <c r="AH16" s="304">
        <v>2040</v>
      </c>
      <c r="AI16" s="304">
        <v>2041</v>
      </c>
      <c r="AJ16" s="304">
        <v>2042</v>
      </c>
      <c r="AK16" s="304">
        <v>2043</v>
      </c>
      <c r="AM16" s="304" t="s">
        <v>434</v>
      </c>
    </row>
    <row r="17" spans="1:39" x14ac:dyDescent="0.25">
      <c r="A17" s="2"/>
      <c r="F17" s="290">
        <f>F3</f>
        <v>0</v>
      </c>
      <c r="G17" s="24">
        <v>0</v>
      </c>
      <c r="H17" s="24">
        <v>0</v>
      </c>
      <c r="I17" s="24">
        <v>0</v>
      </c>
      <c r="J17" s="24">
        <v>0</v>
      </c>
      <c r="K17" s="24">
        <v>0</v>
      </c>
      <c r="L17" s="24">
        <v>0</v>
      </c>
      <c r="M17" s="24">
        <v>0</v>
      </c>
      <c r="N17" s="24">
        <v>0</v>
      </c>
      <c r="O17" s="24">
        <v>0</v>
      </c>
      <c r="P17" s="24">
        <v>0</v>
      </c>
      <c r="R17" s="24">
        <v>0</v>
      </c>
      <c r="S17" s="24">
        <v>0</v>
      </c>
      <c r="T17" s="24">
        <v>0</v>
      </c>
      <c r="U17" s="24">
        <v>0</v>
      </c>
      <c r="V17" s="24">
        <v>0</v>
      </c>
      <c r="W17" s="24">
        <v>0</v>
      </c>
      <c r="X17" s="24">
        <v>0</v>
      </c>
      <c r="Y17" s="24">
        <v>0</v>
      </c>
      <c r="Z17" s="24">
        <v>0</v>
      </c>
      <c r="AA17" s="24">
        <v>0</v>
      </c>
      <c r="AB17" s="24">
        <v>0</v>
      </c>
      <c r="AC17" s="24">
        <v>0</v>
      </c>
      <c r="AD17" s="24">
        <v>0</v>
      </c>
      <c r="AE17" s="24">
        <v>0</v>
      </c>
      <c r="AF17" s="24">
        <v>0</v>
      </c>
      <c r="AG17" s="24">
        <v>0</v>
      </c>
      <c r="AH17" s="24">
        <v>0</v>
      </c>
      <c r="AI17" s="24">
        <v>0</v>
      </c>
      <c r="AJ17" s="24">
        <v>0</v>
      </c>
      <c r="AK17" s="24">
        <v>0</v>
      </c>
      <c r="AM17" s="24">
        <v>0</v>
      </c>
    </row>
    <row r="18" spans="1:39" x14ac:dyDescent="0.25">
      <c r="F18" s="290">
        <f t="shared" ref="F18:F27" si="3">F4</f>
        <v>525600</v>
      </c>
      <c r="G18" s="24">
        <v>1</v>
      </c>
      <c r="H18" s="291">
        <f>H4*$B$3</f>
        <v>20</v>
      </c>
      <c r="I18" s="306">
        <f>I4*$B$4</f>
        <v>0.2</v>
      </c>
      <c r="J18" s="291">
        <f>J4*$B$5</f>
        <v>2</v>
      </c>
      <c r="K18" s="306">
        <f>K4*$B$6</f>
        <v>0.2</v>
      </c>
      <c r="L18" s="306">
        <f>L4*$B$7</f>
        <v>0.5</v>
      </c>
      <c r="M18" s="24">
        <f>M4*$B$8</f>
        <v>0</v>
      </c>
      <c r="N18" s="328">
        <f>N4*$B$9</f>
        <v>0.1</v>
      </c>
      <c r="O18" s="291">
        <f>(H18+I18+J18+K18)*(O4/100)</f>
        <v>2.2399999999999998</v>
      </c>
      <c r="P18" s="306">
        <f>$B$11*P4</f>
        <v>1.9</v>
      </c>
      <c r="R18" s="306">
        <f>(N18+O18+P18)</f>
        <v>4.24</v>
      </c>
      <c r="S18" s="306">
        <f t="shared" ref="S18:AK18" si="4">$R$18/POWER(1+($B$12/100),S16-2024)</f>
        <v>4.116504854368932</v>
      </c>
      <c r="T18" s="306">
        <f t="shared" si="4"/>
        <v>3.9966066547271191</v>
      </c>
      <c r="U18" s="306">
        <f t="shared" si="4"/>
        <v>3.8802006356573968</v>
      </c>
      <c r="V18" s="306">
        <f t="shared" si="4"/>
        <v>3.7671850831625213</v>
      </c>
      <c r="W18" s="306">
        <f t="shared" si="4"/>
        <v>3.657461245788856</v>
      </c>
      <c r="X18" s="306">
        <f t="shared" si="4"/>
        <v>3.5509332483386951</v>
      </c>
      <c r="Y18" s="306">
        <f t="shared" si="4"/>
        <v>3.44750800809582</v>
      </c>
      <c r="Z18" s="306">
        <f t="shared" si="4"/>
        <v>3.3470951534910878</v>
      </c>
      <c r="AA18" s="306">
        <f t="shared" si="4"/>
        <v>3.2496069451369785</v>
      </c>
      <c r="AB18" s="306">
        <f t="shared" si="4"/>
        <v>3.154958199162115</v>
      </c>
      <c r="AC18" s="306">
        <f t="shared" si="4"/>
        <v>3.0630662127787525</v>
      </c>
      <c r="AD18" s="306">
        <f t="shared" si="4"/>
        <v>2.9738506920182064</v>
      </c>
      <c r="AE18" s="306">
        <f t="shared" si="4"/>
        <v>2.8872336815710744</v>
      </c>
      <c r="AF18" s="306">
        <f t="shared" si="4"/>
        <v>2.803139496670946</v>
      </c>
      <c r="AG18" s="306">
        <f t="shared" si="4"/>
        <v>2.7214946569620833</v>
      </c>
      <c r="AH18" s="306">
        <f t="shared" si="4"/>
        <v>2.6422278222932851</v>
      </c>
      <c r="AI18" s="306">
        <f t="shared" si="4"/>
        <v>2.5652697303818299</v>
      </c>
      <c r="AJ18" s="306">
        <f t="shared" si="4"/>
        <v>2.4905531362930389</v>
      </c>
      <c r="AK18" s="306">
        <f t="shared" si="4"/>
        <v>2.4180127536825622</v>
      </c>
      <c r="AM18" s="306">
        <f>SUM(R18:AK18)</f>
        <v>64.972908210581295</v>
      </c>
    </row>
    <row r="19" spans="1:39" x14ac:dyDescent="0.25">
      <c r="B19" s="338"/>
      <c r="F19" s="290">
        <f t="shared" si="3"/>
        <v>1051200</v>
      </c>
      <c r="G19" s="24">
        <v>2</v>
      </c>
      <c r="H19" s="291">
        <f t="shared" ref="H19:H27" si="5">H5*$B$3</f>
        <v>20</v>
      </c>
      <c r="I19" s="306">
        <f t="shared" ref="I19:I27" si="6">I5*$B$4</f>
        <v>0</v>
      </c>
      <c r="J19" s="291">
        <f t="shared" ref="J19:J27" si="7">J5*$B$5</f>
        <v>0</v>
      </c>
      <c r="K19" s="306">
        <f t="shared" ref="K19:K27" si="8">K5*$B$6</f>
        <v>0</v>
      </c>
      <c r="L19" s="306">
        <f t="shared" ref="L19:L27" si="9">L5*$B$7</f>
        <v>0</v>
      </c>
      <c r="M19" s="24">
        <f t="shared" ref="M19:M27" si="10">M5*$B$8</f>
        <v>0</v>
      </c>
      <c r="N19" s="328">
        <f t="shared" ref="N19:N27" si="11">N5*$B$9</f>
        <v>0.1</v>
      </c>
      <c r="O19" s="291">
        <f t="shared" ref="O19:O27" si="12">(H19+I19+J19+K19)*(O6/100)</f>
        <v>2</v>
      </c>
      <c r="P19" s="306">
        <f t="shared" ref="P19:P27" si="13">$B$11*P5</f>
        <v>0.19</v>
      </c>
      <c r="R19" s="306">
        <f t="shared" ref="R19:R27" si="14">(N19+O19+P19)</f>
        <v>2.29</v>
      </c>
      <c r="S19" s="306">
        <f>$R$19/POWER(1+($B$12/100),S16-2024)</f>
        <v>2.2233009708737863</v>
      </c>
      <c r="T19" s="306">
        <f t="shared" ref="T19:AK19" si="15">$R$19/POWER(1+($B$12/100),T16-2024)</f>
        <v>2.1585446319162975</v>
      </c>
      <c r="U19" s="306">
        <f t="shared" si="15"/>
        <v>2.0956743999187353</v>
      </c>
      <c r="V19" s="306">
        <f t="shared" si="15"/>
        <v>2.0346353397269277</v>
      </c>
      <c r="W19" s="306">
        <f t="shared" si="15"/>
        <v>1.9753741162397358</v>
      </c>
      <c r="X19" s="306">
        <f t="shared" si="15"/>
        <v>1.9178389478055686</v>
      </c>
      <c r="Y19" s="306">
        <f t="shared" si="15"/>
        <v>1.8619795609762801</v>
      </c>
      <c r="Z19" s="306">
        <f t="shared" si="15"/>
        <v>1.807747146578913</v>
      </c>
      <c r="AA19" s="306">
        <f t="shared" si="15"/>
        <v>1.7550943170669058</v>
      </c>
      <c r="AB19" s="306">
        <f t="shared" si="15"/>
        <v>1.7039750651135006</v>
      </c>
      <c r="AC19" s="306">
        <f t="shared" si="15"/>
        <v>1.6543447234111657</v>
      </c>
      <c r="AD19" s="306">
        <f t="shared" si="15"/>
        <v>1.6061599256419086</v>
      </c>
      <c r="AE19" s="306">
        <f t="shared" si="15"/>
        <v>1.5593785685843775</v>
      </c>
      <c r="AF19" s="306">
        <f t="shared" si="15"/>
        <v>1.5139597753246381</v>
      </c>
      <c r="AG19" s="306">
        <f t="shared" si="15"/>
        <v>1.4698638595384834</v>
      </c>
      <c r="AH19" s="306">
        <f t="shared" si="15"/>
        <v>1.4270522908140619</v>
      </c>
      <c r="AI19" s="306">
        <f t="shared" si="15"/>
        <v>1.3854876609845261</v>
      </c>
      <c r="AJ19" s="306">
        <f t="shared" si="15"/>
        <v>1.3451336514412875</v>
      </c>
      <c r="AK19" s="306">
        <f t="shared" si="15"/>
        <v>1.3059550013993082</v>
      </c>
      <c r="AM19" s="306">
        <f>SUM(R19:AK19)</f>
        <v>35.091499953356404</v>
      </c>
    </row>
    <row r="20" spans="1:39" x14ac:dyDescent="0.25">
      <c r="A20" s="339"/>
      <c r="F20" s="290">
        <f t="shared" si="3"/>
        <v>1576800</v>
      </c>
      <c r="G20" s="24">
        <v>3</v>
      </c>
      <c r="H20" s="291">
        <f t="shared" si="5"/>
        <v>20</v>
      </c>
      <c r="I20" s="306">
        <f t="shared" si="6"/>
        <v>0</v>
      </c>
      <c r="J20" s="291">
        <f t="shared" si="7"/>
        <v>0</v>
      </c>
      <c r="K20" s="306">
        <f t="shared" si="8"/>
        <v>0</v>
      </c>
      <c r="L20" s="306">
        <f t="shared" si="9"/>
        <v>0</v>
      </c>
      <c r="M20" s="24">
        <f t="shared" si="10"/>
        <v>0</v>
      </c>
      <c r="N20" s="328">
        <f t="shared" si="11"/>
        <v>0.1</v>
      </c>
      <c r="O20" s="291">
        <f t="shared" si="12"/>
        <v>2</v>
      </c>
      <c r="P20" s="306">
        <f t="shared" si="13"/>
        <v>0.19</v>
      </c>
      <c r="R20" s="306">
        <f t="shared" si="14"/>
        <v>2.29</v>
      </c>
      <c r="S20" s="306">
        <f>$R$20/POWER(1+($B$12/100),S16-2024)</f>
        <v>2.2233009708737863</v>
      </c>
      <c r="T20" s="306">
        <f t="shared" ref="T20:AK20" si="16">$R$20/POWER(1+($B$12/100),T16-2024)</f>
        <v>2.1585446319162975</v>
      </c>
      <c r="U20" s="306">
        <f t="shared" si="16"/>
        <v>2.0956743999187353</v>
      </c>
      <c r="V20" s="306">
        <f t="shared" si="16"/>
        <v>2.0346353397269277</v>
      </c>
      <c r="W20" s="306">
        <f t="shared" si="16"/>
        <v>1.9753741162397358</v>
      </c>
      <c r="X20" s="306">
        <f t="shared" si="16"/>
        <v>1.9178389478055686</v>
      </c>
      <c r="Y20" s="306">
        <f t="shared" si="16"/>
        <v>1.8619795609762801</v>
      </c>
      <c r="Z20" s="306">
        <f t="shared" si="16"/>
        <v>1.807747146578913</v>
      </c>
      <c r="AA20" s="306">
        <f t="shared" si="16"/>
        <v>1.7550943170669058</v>
      </c>
      <c r="AB20" s="306">
        <f t="shared" si="16"/>
        <v>1.7039750651135006</v>
      </c>
      <c r="AC20" s="306">
        <f t="shared" si="16"/>
        <v>1.6543447234111657</v>
      </c>
      <c r="AD20" s="306">
        <f t="shared" si="16"/>
        <v>1.6061599256419086</v>
      </c>
      <c r="AE20" s="306">
        <f t="shared" si="16"/>
        <v>1.5593785685843775</v>
      </c>
      <c r="AF20" s="306">
        <f t="shared" si="16"/>
        <v>1.5139597753246381</v>
      </c>
      <c r="AG20" s="306">
        <f t="shared" si="16"/>
        <v>1.4698638595384834</v>
      </c>
      <c r="AH20" s="306">
        <f t="shared" si="16"/>
        <v>1.4270522908140619</v>
      </c>
      <c r="AI20" s="306">
        <f t="shared" si="16"/>
        <v>1.3854876609845261</v>
      </c>
      <c r="AJ20" s="306">
        <f t="shared" si="16"/>
        <v>1.3451336514412875</v>
      </c>
      <c r="AK20" s="306">
        <f t="shared" si="16"/>
        <v>1.3059550013993082</v>
      </c>
      <c r="AM20" s="306">
        <f>SUM(R20:AK20)</f>
        <v>35.091499953356404</v>
      </c>
    </row>
    <row r="21" spans="1:39" x14ac:dyDescent="0.25">
      <c r="F21" s="290">
        <f t="shared" si="3"/>
        <v>2102400</v>
      </c>
      <c r="G21" s="24">
        <v>4</v>
      </c>
      <c r="H21" s="291">
        <f t="shared" si="5"/>
        <v>20</v>
      </c>
      <c r="I21" s="306">
        <f t="shared" si="6"/>
        <v>0</v>
      </c>
      <c r="J21" s="291">
        <f t="shared" si="7"/>
        <v>0</v>
      </c>
      <c r="K21" s="306">
        <f t="shared" si="8"/>
        <v>0</v>
      </c>
      <c r="L21" s="306">
        <f t="shared" si="9"/>
        <v>0</v>
      </c>
      <c r="M21" s="24">
        <f t="shared" si="10"/>
        <v>0</v>
      </c>
      <c r="N21" s="328">
        <f t="shared" si="11"/>
        <v>0.1</v>
      </c>
      <c r="O21" s="291">
        <f t="shared" si="12"/>
        <v>2</v>
      </c>
      <c r="P21" s="306">
        <f t="shared" si="13"/>
        <v>0.19</v>
      </c>
      <c r="R21" s="306">
        <f t="shared" si="14"/>
        <v>2.29</v>
      </c>
      <c r="S21" s="306">
        <f>$R$21/POWER(1+($B$12/100),S16-2024)</f>
        <v>2.2233009708737863</v>
      </c>
      <c r="T21" s="306">
        <f t="shared" ref="T21:AK21" si="17">$R$21/POWER(1+($B$12/100),T16-2024)</f>
        <v>2.1585446319162975</v>
      </c>
      <c r="U21" s="306">
        <f t="shared" si="17"/>
        <v>2.0956743999187353</v>
      </c>
      <c r="V21" s="306">
        <f t="shared" si="17"/>
        <v>2.0346353397269277</v>
      </c>
      <c r="W21" s="306">
        <f t="shared" si="17"/>
        <v>1.9753741162397358</v>
      </c>
      <c r="X21" s="306">
        <f t="shared" si="17"/>
        <v>1.9178389478055686</v>
      </c>
      <c r="Y21" s="306">
        <f t="shared" si="17"/>
        <v>1.8619795609762801</v>
      </c>
      <c r="Z21" s="306">
        <f t="shared" si="17"/>
        <v>1.807747146578913</v>
      </c>
      <c r="AA21" s="306">
        <f t="shared" si="17"/>
        <v>1.7550943170669058</v>
      </c>
      <c r="AB21" s="306">
        <f t="shared" si="17"/>
        <v>1.7039750651135006</v>
      </c>
      <c r="AC21" s="306">
        <f t="shared" si="17"/>
        <v>1.6543447234111657</v>
      </c>
      <c r="AD21" s="306">
        <f t="shared" si="17"/>
        <v>1.6061599256419086</v>
      </c>
      <c r="AE21" s="306">
        <f t="shared" si="17"/>
        <v>1.5593785685843775</v>
      </c>
      <c r="AF21" s="306">
        <f t="shared" si="17"/>
        <v>1.5139597753246381</v>
      </c>
      <c r="AG21" s="306">
        <f t="shared" si="17"/>
        <v>1.4698638595384834</v>
      </c>
      <c r="AH21" s="306">
        <f t="shared" si="17"/>
        <v>1.4270522908140619</v>
      </c>
      <c r="AI21" s="306">
        <f t="shared" si="17"/>
        <v>1.3854876609845261</v>
      </c>
      <c r="AJ21" s="306">
        <f t="shared" si="17"/>
        <v>1.3451336514412875</v>
      </c>
      <c r="AK21" s="306">
        <f t="shared" si="17"/>
        <v>1.3059550013993082</v>
      </c>
      <c r="AM21" s="306">
        <f>SUM(R21:AK21)</f>
        <v>35.091499953356404</v>
      </c>
    </row>
    <row r="22" spans="1:39" x14ac:dyDescent="0.25">
      <c r="F22" s="290">
        <f t="shared" si="3"/>
        <v>2628000</v>
      </c>
      <c r="G22" s="24">
        <v>5</v>
      </c>
      <c r="H22" s="291">
        <f t="shared" si="5"/>
        <v>20</v>
      </c>
      <c r="I22" s="306">
        <f t="shared" si="6"/>
        <v>0</v>
      </c>
      <c r="J22" s="291">
        <f t="shared" si="7"/>
        <v>0</v>
      </c>
      <c r="K22" s="306">
        <f t="shared" si="8"/>
        <v>0</v>
      </c>
      <c r="L22" s="306">
        <f t="shared" si="9"/>
        <v>0</v>
      </c>
      <c r="M22" s="24">
        <f t="shared" si="10"/>
        <v>0</v>
      </c>
      <c r="N22" s="328">
        <f t="shared" si="11"/>
        <v>0.1</v>
      </c>
      <c r="O22" s="291">
        <f t="shared" si="12"/>
        <v>2</v>
      </c>
      <c r="P22" s="306">
        <f t="shared" si="13"/>
        <v>0.19</v>
      </c>
      <c r="R22" s="306">
        <f t="shared" si="14"/>
        <v>2.29</v>
      </c>
      <c r="S22" s="306">
        <f>$R$22/POWER(1+($B$12/100),S16-2024)</f>
        <v>2.2233009708737863</v>
      </c>
      <c r="T22" s="306">
        <f t="shared" ref="T22:AK22" si="18">$R$22/POWER(1+($B$12/100),T16-2024)</f>
        <v>2.1585446319162975</v>
      </c>
      <c r="U22" s="306">
        <f t="shared" si="18"/>
        <v>2.0956743999187353</v>
      </c>
      <c r="V22" s="306">
        <f t="shared" si="18"/>
        <v>2.0346353397269277</v>
      </c>
      <c r="W22" s="306">
        <f t="shared" si="18"/>
        <v>1.9753741162397358</v>
      </c>
      <c r="X22" s="306">
        <f t="shared" si="18"/>
        <v>1.9178389478055686</v>
      </c>
      <c r="Y22" s="306">
        <f t="shared" si="18"/>
        <v>1.8619795609762801</v>
      </c>
      <c r="Z22" s="306">
        <f t="shared" si="18"/>
        <v>1.807747146578913</v>
      </c>
      <c r="AA22" s="306">
        <f t="shared" si="18"/>
        <v>1.7550943170669058</v>
      </c>
      <c r="AB22" s="306">
        <f t="shared" si="18"/>
        <v>1.7039750651135006</v>
      </c>
      <c r="AC22" s="306">
        <f t="shared" si="18"/>
        <v>1.6543447234111657</v>
      </c>
      <c r="AD22" s="306">
        <f t="shared" si="18"/>
        <v>1.6061599256419086</v>
      </c>
      <c r="AE22" s="306">
        <f t="shared" si="18"/>
        <v>1.5593785685843775</v>
      </c>
      <c r="AF22" s="306">
        <f t="shared" si="18"/>
        <v>1.5139597753246381</v>
      </c>
      <c r="AG22" s="306">
        <f t="shared" si="18"/>
        <v>1.4698638595384834</v>
      </c>
      <c r="AH22" s="306">
        <f t="shared" si="18"/>
        <v>1.4270522908140619</v>
      </c>
      <c r="AI22" s="306">
        <f t="shared" si="18"/>
        <v>1.3854876609845261</v>
      </c>
      <c r="AJ22" s="306">
        <f t="shared" si="18"/>
        <v>1.3451336514412875</v>
      </c>
      <c r="AK22" s="306">
        <f t="shared" si="18"/>
        <v>1.3059550013993082</v>
      </c>
      <c r="AM22" s="306">
        <f t="shared" ref="AM22:AM27" si="19">SUM(R21:AK21)</f>
        <v>35.091499953356404</v>
      </c>
    </row>
    <row r="23" spans="1:39" x14ac:dyDescent="0.25">
      <c r="F23" s="290">
        <f t="shared" si="3"/>
        <v>3153600</v>
      </c>
      <c r="G23" s="24">
        <v>6</v>
      </c>
      <c r="H23" s="291">
        <f t="shared" si="5"/>
        <v>20</v>
      </c>
      <c r="I23" s="306">
        <f t="shared" si="6"/>
        <v>0</v>
      </c>
      <c r="J23" s="291">
        <f t="shared" si="7"/>
        <v>0</v>
      </c>
      <c r="K23" s="306">
        <f t="shared" si="8"/>
        <v>0</v>
      </c>
      <c r="L23" s="306">
        <f t="shared" si="9"/>
        <v>0</v>
      </c>
      <c r="M23" s="24">
        <f t="shared" si="10"/>
        <v>0</v>
      </c>
      <c r="N23" s="328">
        <f t="shared" si="11"/>
        <v>0.1</v>
      </c>
      <c r="O23" s="291">
        <f t="shared" si="12"/>
        <v>2</v>
      </c>
      <c r="P23" s="306">
        <f t="shared" si="13"/>
        <v>0.19</v>
      </c>
      <c r="R23" s="306">
        <f t="shared" si="14"/>
        <v>2.29</v>
      </c>
      <c r="S23" s="306">
        <f>$R$23/POWER(1+($B$12/100),S16-2024)</f>
        <v>2.2233009708737863</v>
      </c>
      <c r="T23" s="306">
        <f t="shared" ref="T23:AK23" si="20">$R$23/POWER(1+($B$12/100),T16-2024)</f>
        <v>2.1585446319162975</v>
      </c>
      <c r="U23" s="306">
        <f t="shared" si="20"/>
        <v>2.0956743999187353</v>
      </c>
      <c r="V23" s="306">
        <f t="shared" si="20"/>
        <v>2.0346353397269277</v>
      </c>
      <c r="W23" s="306">
        <f t="shared" si="20"/>
        <v>1.9753741162397358</v>
      </c>
      <c r="X23" s="306">
        <f t="shared" si="20"/>
        <v>1.9178389478055686</v>
      </c>
      <c r="Y23" s="306">
        <f t="shared" si="20"/>
        <v>1.8619795609762801</v>
      </c>
      <c r="Z23" s="306">
        <f t="shared" si="20"/>
        <v>1.807747146578913</v>
      </c>
      <c r="AA23" s="306">
        <f t="shared" si="20"/>
        <v>1.7550943170669058</v>
      </c>
      <c r="AB23" s="306">
        <f t="shared" si="20"/>
        <v>1.7039750651135006</v>
      </c>
      <c r="AC23" s="306">
        <f t="shared" si="20"/>
        <v>1.6543447234111657</v>
      </c>
      <c r="AD23" s="306">
        <f t="shared" si="20"/>
        <v>1.6061599256419086</v>
      </c>
      <c r="AE23" s="306">
        <f t="shared" si="20"/>
        <v>1.5593785685843775</v>
      </c>
      <c r="AF23" s="306">
        <f t="shared" si="20"/>
        <v>1.5139597753246381</v>
      </c>
      <c r="AG23" s="306">
        <f t="shared" si="20"/>
        <v>1.4698638595384834</v>
      </c>
      <c r="AH23" s="306">
        <f t="shared" si="20"/>
        <v>1.4270522908140619</v>
      </c>
      <c r="AI23" s="306">
        <f t="shared" si="20"/>
        <v>1.3854876609845261</v>
      </c>
      <c r="AJ23" s="306">
        <f t="shared" si="20"/>
        <v>1.3451336514412875</v>
      </c>
      <c r="AK23" s="306">
        <f t="shared" si="20"/>
        <v>1.3059550013993082</v>
      </c>
      <c r="AM23" s="306">
        <f t="shared" si="19"/>
        <v>35.091499953356404</v>
      </c>
    </row>
    <row r="24" spans="1:39" ht="14.4" customHeight="1" x14ac:dyDescent="0.3">
      <c r="A24" s="153"/>
      <c r="B24" s="153"/>
      <c r="C24" s="153"/>
      <c r="F24" s="290">
        <f t="shared" si="3"/>
        <v>3679200</v>
      </c>
      <c r="G24" s="24">
        <v>7</v>
      </c>
      <c r="H24" s="291">
        <f t="shared" si="5"/>
        <v>20</v>
      </c>
      <c r="I24" s="306">
        <f t="shared" si="6"/>
        <v>0</v>
      </c>
      <c r="J24" s="291">
        <f t="shared" si="7"/>
        <v>0</v>
      </c>
      <c r="K24" s="306">
        <f t="shared" si="8"/>
        <v>0</v>
      </c>
      <c r="L24" s="306">
        <f t="shared" si="9"/>
        <v>0</v>
      </c>
      <c r="M24" s="24">
        <f t="shared" si="10"/>
        <v>0</v>
      </c>
      <c r="N24" s="328">
        <f t="shared" si="11"/>
        <v>0.1</v>
      </c>
      <c r="O24" s="291">
        <f t="shared" si="12"/>
        <v>2</v>
      </c>
      <c r="P24" s="306">
        <f t="shared" si="13"/>
        <v>0.19</v>
      </c>
      <c r="R24" s="306">
        <f t="shared" si="14"/>
        <v>2.29</v>
      </c>
      <c r="S24" s="306">
        <f>$R$24/POWER(1+($B$12/100),S16-2024)</f>
        <v>2.2233009708737863</v>
      </c>
      <c r="T24" s="306">
        <f t="shared" ref="T24:AK24" si="21">$R$24/POWER(1+($B$12/100),T16-2024)</f>
        <v>2.1585446319162975</v>
      </c>
      <c r="U24" s="306">
        <f t="shared" si="21"/>
        <v>2.0956743999187353</v>
      </c>
      <c r="V24" s="306">
        <f t="shared" si="21"/>
        <v>2.0346353397269277</v>
      </c>
      <c r="W24" s="306">
        <f t="shared" si="21"/>
        <v>1.9753741162397358</v>
      </c>
      <c r="X24" s="306">
        <f t="shared" si="21"/>
        <v>1.9178389478055686</v>
      </c>
      <c r="Y24" s="306">
        <f t="shared" si="21"/>
        <v>1.8619795609762801</v>
      </c>
      <c r="Z24" s="306">
        <f t="shared" si="21"/>
        <v>1.807747146578913</v>
      </c>
      <c r="AA24" s="306">
        <f t="shared" si="21"/>
        <v>1.7550943170669058</v>
      </c>
      <c r="AB24" s="306">
        <f t="shared" si="21"/>
        <v>1.7039750651135006</v>
      </c>
      <c r="AC24" s="306">
        <f t="shared" si="21"/>
        <v>1.6543447234111657</v>
      </c>
      <c r="AD24" s="306">
        <f t="shared" si="21"/>
        <v>1.6061599256419086</v>
      </c>
      <c r="AE24" s="306">
        <f t="shared" si="21"/>
        <v>1.5593785685843775</v>
      </c>
      <c r="AF24" s="306">
        <f t="shared" si="21"/>
        <v>1.5139597753246381</v>
      </c>
      <c r="AG24" s="306">
        <f t="shared" si="21"/>
        <v>1.4698638595384834</v>
      </c>
      <c r="AH24" s="306">
        <f t="shared" si="21"/>
        <v>1.4270522908140619</v>
      </c>
      <c r="AI24" s="306">
        <f t="shared" si="21"/>
        <v>1.3854876609845261</v>
      </c>
      <c r="AJ24" s="306">
        <f t="shared" si="21"/>
        <v>1.3451336514412875</v>
      </c>
      <c r="AK24" s="306">
        <f t="shared" si="21"/>
        <v>1.3059550013993082</v>
      </c>
      <c r="AM24" s="306">
        <f t="shared" si="19"/>
        <v>35.091499953356404</v>
      </c>
    </row>
    <row r="25" spans="1:39" ht="14.4" x14ac:dyDescent="0.3">
      <c r="A25" s="153"/>
      <c r="B25" s="153"/>
      <c r="C25" s="153"/>
      <c r="F25" s="290">
        <f t="shared" si="3"/>
        <v>4204800</v>
      </c>
      <c r="G25" s="24">
        <v>8</v>
      </c>
      <c r="H25" s="291">
        <f t="shared" si="5"/>
        <v>20</v>
      </c>
      <c r="I25" s="306">
        <f t="shared" si="6"/>
        <v>0</v>
      </c>
      <c r="J25" s="291">
        <f t="shared" si="7"/>
        <v>0</v>
      </c>
      <c r="K25" s="306">
        <f t="shared" si="8"/>
        <v>0</v>
      </c>
      <c r="L25" s="306">
        <f t="shared" si="9"/>
        <v>0</v>
      </c>
      <c r="M25" s="24">
        <f t="shared" si="10"/>
        <v>0</v>
      </c>
      <c r="N25" s="328">
        <f t="shared" si="11"/>
        <v>0.1</v>
      </c>
      <c r="O25" s="291">
        <f t="shared" si="12"/>
        <v>2</v>
      </c>
      <c r="P25" s="306">
        <f t="shared" si="13"/>
        <v>0.19</v>
      </c>
      <c r="R25" s="306">
        <f t="shared" si="14"/>
        <v>2.29</v>
      </c>
      <c r="S25" s="306">
        <f>$R$25/POWER(1+($B$12/100),S16-2024)</f>
        <v>2.2233009708737863</v>
      </c>
      <c r="T25" s="306">
        <f t="shared" ref="T25:AK25" si="22">$R$25/POWER(1+($B$12/100),T16-2024)</f>
        <v>2.1585446319162975</v>
      </c>
      <c r="U25" s="306">
        <f t="shared" si="22"/>
        <v>2.0956743999187353</v>
      </c>
      <c r="V25" s="306">
        <f t="shared" si="22"/>
        <v>2.0346353397269277</v>
      </c>
      <c r="W25" s="306">
        <f t="shared" si="22"/>
        <v>1.9753741162397358</v>
      </c>
      <c r="X25" s="306">
        <f t="shared" si="22"/>
        <v>1.9178389478055686</v>
      </c>
      <c r="Y25" s="306">
        <f t="shared" si="22"/>
        <v>1.8619795609762801</v>
      </c>
      <c r="Z25" s="306">
        <f t="shared" si="22"/>
        <v>1.807747146578913</v>
      </c>
      <c r="AA25" s="306">
        <f t="shared" si="22"/>
        <v>1.7550943170669058</v>
      </c>
      <c r="AB25" s="306">
        <f t="shared" si="22"/>
        <v>1.7039750651135006</v>
      </c>
      <c r="AC25" s="306">
        <f t="shared" si="22"/>
        <v>1.6543447234111657</v>
      </c>
      <c r="AD25" s="306">
        <f t="shared" si="22"/>
        <v>1.6061599256419086</v>
      </c>
      <c r="AE25" s="306">
        <f t="shared" si="22"/>
        <v>1.5593785685843775</v>
      </c>
      <c r="AF25" s="306">
        <f t="shared" si="22"/>
        <v>1.5139597753246381</v>
      </c>
      <c r="AG25" s="306">
        <f t="shared" si="22"/>
        <v>1.4698638595384834</v>
      </c>
      <c r="AH25" s="306">
        <f t="shared" si="22"/>
        <v>1.4270522908140619</v>
      </c>
      <c r="AI25" s="306">
        <f t="shared" si="22"/>
        <v>1.3854876609845261</v>
      </c>
      <c r="AJ25" s="306">
        <f t="shared" si="22"/>
        <v>1.3451336514412875</v>
      </c>
      <c r="AK25" s="306">
        <f t="shared" si="22"/>
        <v>1.3059550013993082</v>
      </c>
      <c r="AM25" s="306">
        <f t="shared" si="19"/>
        <v>35.091499953356404</v>
      </c>
    </row>
    <row r="26" spans="1:39" ht="14.4" x14ac:dyDescent="0.3">
      <c r="A26" s="153"/>
      <c r="B26" s="153"/>
      <c r="C26" s="153"/>
      <c r="F26" s="290">
        <f t="shared" si="3"/>
        <v>4730400</v>
      </c>
      <c r="G26" s="24">
        <v>9</v>
      </c>
      <c r="H26" s="291">
        <f t="shared" si="5"/>
        <v>20</v>
      </c>
      <c r="I26" s="306">
        <f t="shared" si="6"/>
        <v>0</v>
      </c>
      <c r="J26" s="291">
        <f t="shared" si="7"/>
        <v>0</v>
      </c>
      <c r="K26" s="306">
        <f t="shared" si="8"/>
        <v>0</v>
      </c>
      <c r="L26" s="306">
        <f t="shared" si="9"/>
        <v>0</v>
      </c>
      <c r="M26" s="24">
        <f t="shared" si="10"/>
        <v>0</v>
      </c>
      <c r="N26" s="328">
        <f t="shared" si="11"/>
        <v>0.1</v>
      </c>
      <c r="O26" s="291">
        <f t="shared" si="12"/>
        <v>2</v>
      </c>
      <c r="P26" s="306">
        <f t="shared" si="13"/>
        <v>0.19</v>
      </c>
      <c r="R26" s="306">
        <f t="shared" si="14"/>
        <v>2.29</v>
      </c>
      <c r="S26" s="306">
        <f>$R$26/POWER(1+($B$12/100),S16-2024)</f>
        <v>2.2233009708737863</v>
      </c>
      <c r="T26" s="306">
        <f t="shared" ref="T26:AK26" si="23">$R$26/POWER(1+($B$12/100),T16-2024)</f>
        <v>2.1585446319162975</v>
      </c>
      <c r="U26" s="306">
        <f t="shared" si="23"/>
        <v>2.0956743999187353</v>
      </c>
      <c r="V26" s="306">
        <f t="shared" si="23"/>
        <v>2.0346353397269277</v>
      </c>
      <c r="W26" s="306">
        <f t="shared" si="23"/>
        <v>1.9753741162397358</v>
      </c>
      <c r="X26" s="306">
        <f t="shared" si="23"/>
        <v>1.9178389478055686</v>
      </c>
      <c r="Y26" s="306">
        <f t="shared" si="23"/>
        <v>1.8619795609762801</v>
      </c>
      <c r="Z26" s="306">
        <f t="shared" si="23"/>
        <v>1.807747146578913</v>
      </c>
      <c r="AA26" s="306">
        <f t="shared" si="23"/>
        <v>1.7550943170669058</v>
      </c>
      <c r="AB26" s="306">
        <f t="shared" si="23"/>
        <v>1.7039750651135006</v>
      </c>
      <c r="AC26" s="306">
        <f t="shared" si="23"/>
        <v>1.6543447234111657</v>
      </c>
      <c r="AD26" s="306">
        <f t="shared" si="23"/>
        <v>1.6061599256419086</v>
      </c>
      <c r="AE26" s="306">
        <f t="shared" si="23"/>
        <v>1.5593785685843775</v>
      </c>
      <c r="AF26" s="306">
        <f t="shared" si="23"/>
        <v>1.5139597753246381</v>
      </c>
      <c r="AG26" s="306">
        <f t="shared" si="23"/>
        <v>1.4698638595384834</v>
      </c>
      <c r="AH26" s="306">
        <f t="shared" si="23"/>
        <v>1.4270522908140619</v>
      </c>
      <c r="AI26" s="306">
        <f t="shared" si="23"/>
        <v>1.3854876609845261</v>
      </c>
      <c r="AJ26" s="306">
        <f t="shared" si="23"/>
        <v>1.3451336514412875</v>
      </c>
      <c r="AK26" s="306">
        <f t="shared" si="23"/>
        <v>1.3059550013993082</v>
      </c>
      <c r="AM26" s="306">
        <f t="shared" si="19"/>
        <v>35.091499953356404</v>
      </c>
    </row>
    <row r="27" spans="1:39" ht="14.4" x14ac:dyDescent="0.3">
      <c r="A27" s="153"/>
      <c r="B27" s="153"/>
      <c r="C27" s="153"/>
      <c r="F27" s="290">
        <f t="shared" si="3"/>
        <v>5256000</v>
      </c>
      <c r="G27" s="24">
        <v>10</v>
      </c>
      <c r="H27" s="291">
        <f t="shared" si="5"/>
        <v>20</v>
      </c>
      <c r="I27" s="306">
        <f t="shared" si="6"/>
        <v>0</v>
      </c>
      <c r="J27" s="291">
        <f t="shared" si="7"/>
        <v>0</v>
      </c>
      <c r="K27" s="306">
        <f t="shared" si="8"/>
        <v>0</v>
      </c>
      <c r="L27" s="306">
        <f t="shared" si="9"/>
        <v>0</v>
      </c>
      <c r="M27" s="24">
        <f t="shared" si="10"/>
        <v>0</v>
      </c>
      <c r="N27" s="328">
        <f t="shared" si="11"/>
        <v>0.1</v>
      </c>
      <c r="O27" s="291">
        <f t="shared" si="12"/>
        <v>0</v>
      </c>
      <c r="P27" s="306">
        <f t="shared" si="13"/>
        <v>0.19</v>
      </c>
      <c r="R27" s="306">
        <f t="shared" si="14"/>
        <v>0.29000000000000004</v>
      </c>
      <c r="S27" s="306">
        <f>$R$27/POWER(1+($B$12/100),S16-2024)</f>
        <v>0.28155339805825247</v>
      </c>
      <c r="T27" s="306">
        <f t="shared" ref="T27:AK27" si="24">$R$27/POWER(1+($B$12/100),T16-2024)</f>
        <v>0.27335281364878883</v>
      </c>
      <c r="U27" s="306">
        <f t="shared" si="24"/>
        <v>0.26539108121241628</v>
      </c>
      <c r="V27" s="306">
        <f t="shared" si="24"/>
        <v>0.25766124389554984</v>
      </c>
      <c r="W27" s="306">
        <f t="shared" si="24"/>
        <v>0.25015654747140764</v>
      </c>
      <c r="X27" s="306">
        <f t="shared" si="24"/>
        <v>0.24287043443825981</v>
      </c>
      <c r="Y27" s="306">
        <f t="shared" si="24"/>
        <v>0.23579653828957262</v>
      </c>
      <c r="Z27" s="306">
        <f t="shared" si="24"/>
        <v>0.22892867795104141</v>
      </c>
      <c r="AA27" s="306">
        <f t="shared" si="24"/>
        <v>0.22226085237965185</v>
      </c>
      <c r="AB27" s="306">
        <f t="shared" si="24"/>
        <v>0.21578723532005034</v>
      </c>
      <c r="AC27" s="306">
        <f t="shared" si="24"/>
        <v>0.20950217021364109</v>
      </c>
      <c r="AD27" s="306">
        <f t="shared" si="24"/>
        <v>0.20340016525596225</v>
      </c>
      <c r="AE27" s="306">
        <f t="shared" si="24"/>
        <v>0.19747588859802162</v>
      </c>
      <c r="AF27" s="306">
        <f t="shared" si="24"/>
        <v>0.19172416368739961</v>
      </c>
      <c r="AG27" s="306">
        <f t="shared" si="24"/>
        <v>0.18613996474504815</v>
      </c>
      <c r="AH27" s="306">
        <f t="shared" si="24"/>
        <v>0.18071841237383318</v>
      </c>
      <c r="AI27" s="306">
        <f t="shared" si="24"/>
        <v>0.17545476929498369</v>
      </c>
      <c r="AJ27" s="306">
        <f t="shared" si="24"/>
        <v>0.17034443620872203</v>
      </c>
      <c r="AK27" s="306">
        <f t="shared" si="24"/>
        <v>0.16538294777545828</v>
      </c>
      <c r="AM27" s="306">
        <f t="shared" si="19"/>
        <v>35.091499953356404</v>
      </c>
    </row>
    <row r="28" spans="1:39" ht="14.4" x14ac:dyDescent="0.3">
      <c r="A28" s="107" t="s">
        <v>4</v>
      </c>
      <c r="B28" s="153"/>
      <c r="C28" s="153"/>
      <c r="R28" s="153"/>
      <c r="S28" s="153"/>
      <c r="T28" s="153"/>
      <c r="U28" s="153"/>
      <c r="V28" s="153"/>
      <c r="W28" s="153"/>
      <c r="X28" s="153"/>
      <c r="Y28" s="153"/>
      <c r="Z28" s="153"/>
      <c r="AA28" s="153"/>
      <c r="AB28" s="153"/>
      <c r="AC28" s="153"/>
      <c r="AD28" s="153"/>
      <c r="AE28" s="153"/>
      <c r="AF28" s="153"/>
      <c r="AG28" s="153"/>
      <c r="AH28" s="153"/>
      <c r="AI28" s="153"/>
      <c r="AJ28" s="153"/>
      <c r="AK28" s="153"/>
      <c r="AL28" s="153"/>
      <c r="AM28" s="153"/>
    </row>
    <row r="29" spans="1:39" ht="15" thickBot="1" x14ac:dyDescent="0.35">
      <c r="A29" s="2" t="s">
        <v>472</v>
      </c>
      <c r="B29" s="153"/>
      <c r="C29" s="153"/>
      <c r="F29" s="521" t="s">
        <v>473</v>
      </c>
      <c r="G29" s="521"/>
      <c r="H29" s="521"/>
      <c r="I29" s="521"/>
      <c r="J29" s="521"/>
      <c r="K29" s="521"/>
      <c r="L29" s="521"/>
      <c r="M29" s="521"/>
      <c r="N29" s="521"/>
      <c r="O29" s="340"/>
      <c r="R29" s="153"/>
      <c r="S29" s="153"/>
      <c r="T29" s="153"/>
      <c r="U29" s="153"/>
      <c r="V29" s="153"/>
      <c r="W29" s="153"/>
      <c r="X29" s="153"/>
      <c r="Y29" s="153"/>
      <c r="Z29" s="153"/>
      <c r="AA29" s="153"/>
      <c r="AB29" s="153"/>
      <c r="AC29" s="153"/>
      <c r="AD29" s="153"/>
      <c r="AE29" s="153"/>
      <c r="AF29" s="153"/>
      <c r="AG29" s="153"/>
      <c r="AH29" s="153"/>
      <c r="AI29" s="153"/>
      <c r="AJ29" s="153"/>
      <c r="AK29" s="153"/>
      <c r="AL29" s="153"/>
      <c r="AM29" s="153"/>
    </row>
    <row r="30" spans="1:39" ht="14.4" x14ac:dyDescent="0.3">
      <c r="A30" s="2" t="s">
        <v>474</v>
      </c>
      <c r="B30" s="153"/>
      <c r="C30" s="153"/>
      <c r="F30" s="289" t="s">
        <v>372</v>
      </c>
      <c r="G30" s="289" t="s">
        <v>390</v>
      </c>
      <c r="H30" s="380" t="s">
        <v>443</v>
      </c>
      <c r="I30" s="380" t="s">
        <v>444</v>
      </c>
      <c r="J30" s="289" t="s">
        <v>445</v>
      </c>
      <c r="K30" s="315" t="s">
        <v>446</v>
      </c>
      <c r="L30" s="315" t="s">
        <v>515</v>
      </c>
      <c r="M30" s="315" t="s">
        <v>516</v>
      </c>
      <c r="N30" s="316" t="s">
        <v>449</v>
      </c>
      <c r="O30" s="153"/>
    </row>
    <row r="31" spans="1:39" ht="14.4" x14ac:dyDescent="0.3">
      <c r="A31" s="2" t="s">
        <v>475</v>
      </c>
      <c r="B31" s="153"/>
      <c r="C31" s="153"/>
      <c r="F31" s="290">
        <f t="shared" ref="F31:F41" si="25">F17</f>
        <v>0</v>
      </c>
      <c r="G31" s="24">
        <v>0</v>
      </c>
      <c r="H31" s="24"/>
      <c r="I31" s="24"/>
      <c r="J31" s="24"/>
      <c r="K31" s="317">
        <v>0</v>
      </c>
      <c r="L31" s="317">
        <v>0</v>
      </c>
      <c r="M31" s="317">
        <v>0</v>
      </c>
      <c r="N31" s="413">
        <v>0</v>
      </c>
    </row>
    <row r="32" spans="1:39" ht="14.4" x14ac:dyDescent="0.3">
      <c r="A32" s="2" t="s">
        <v>476</v>
      </c>
      <c r="B32" s="153"/>
      <c r="C32" s="153"/>
      <c r="F32" s="290">
        <f t="shared" si="25"/>
        <v>525600</v>
      </c>
      <c r="G32" s="290">
        <f t="shared" ref="G32:G41" si="26">G4</f>
        <v>1</v>
      </c>
      <c r="H32" s="28">
        <f>SUM(I32+J32)</f>
        <v>87.872908210581301</v>
      </c>
      <c r="I32" s="28">
        <f>SUM(H18:M18,AM18)</f>
        <v>87.872908210581301</v>
      </c>
      <c r="J32" s="24">
        <v>0</v>
      </c>
      <c r="K32" s="290">
        <f>SUM(L32:M32)</f>
        <v>167.18589842195834</v>
      </c>
      <c r="L32" s="290">
        <f>IFERROR(I32/F32,0)*1000000</f>
        <v>167.18589842195834</v>
      </c>
      <c r="M32" s="290">
        <f>IFERROR(J32/F32,0)*1000000</f>
        <v>0</v>
      </c>
      <c r="N32" s="318">
        <f>IFERROR((H32-H31)/(F32-F31),0)*1000000</f>
        <v>167.18589842195834</v>
      </c>
    </row>
    <row r="33" spans="1:15" ht="14.4" x14ac:dyDescent="0.3">
      <c r="A33" s="2" t="s">
        <v>477</v>
      </c>
      <c r="B33" s="153"/>
      <c r="C33" s="153"/>
      <c r="F33" s="290">
        <f t="shared" si="25"/>
        <v>1051200</v>
      </c>
      <c r="G33" s="290">
        <f t="shared" si="26"/>
        <v>2</v>
      </c>
      <c r="H33" s="28">
        <f t="shared" ref="H33:H41" si="27">SUM(I33+J33)</f>
        <v>142.96440816393772</v>
      </c>
      <c r="I33" s="28">
        <f>$I$32</f>
        <v>87.872908210581301</v>
      </c>
      <c r="J33" s="291">
        <f>J32+SUM(H19,AM19)</f>
        <v>55.091499953356404</v>
      </c>
      <c r="K33" s="290">
        <f t="shared" ref="K33:K41" si="28">SUM(L33:M33)</f>
        <v>136.00114931881441</v>
      </c>
      <c r="L33" s="290">
        <f t="shared" ref="L33:L41" si="29">IFERROR(I33/F33,0)*1000000</f>
        <v>83.592949210979171</v>
      </c>
      <c r="M33" s="290">
        <f t="shared" ref="M33:M41" si="30">IFERROR(J33/F33,0)*1000000</f>
        <v>52.408200107835242</v>
      </c>
      <c r="N33" s="318">
        <f t="shared" ref="N33:N41" si="31">IFERROR((H33-H32)/(F33-F32),0)*1000000</f>
        <v>104.81640021567051</v>
      </c>
    </row>
    <row r="34" spans="1:15" ht="14.4" x14ac:dyDescent="0.3">
      <c r="A34" s="2" t="s">
        <v>478</v>
      </c>
      <c r="B34" s="153"/>
      <c r="C34" s="153"/>
      <c r="F34" s="290">
        <f t="shared" si="25"/>
        <v>1576800</v>
      </c>
      <c r="G34" s="290">
        <f t="shared" si="26"/>
        <v>3</v>
      </c>
      <c r="H34" s="28">
        <f t="shared" si="27"/>
        <v>198.05590811729411</v>
      </c>
      <c r="I34" s="28">
        <f t="shared" ref="I34:I41" si="32">$I$32</f>
        <v>87.872908210581301</v>
      </c>
      <c r="J34" s="291">
        <f t="shared" ref="J34:J41" si="33">J33+SUM(H20,AM20)</f>
        <v>110.18299990671281</v>
      </c>
      <c r="K34" s="290">
        <f t="shared" si="28"/>
        <v>125.60623295109976</v>
      </c>
      <c r="L34" s="290">
        <f t="shared" si="29"/>
        <v>55.728632807319443</v>
      </c>
      <c r="M34" s="290">
        <f t="shared" si="30"/>
        <v>69.877600143780313</v>
      </c>
      <c r="N34" s="318">
        <f t="shared" si="31"/>
        <v>104.81640021567046</v>
      </c>
    </row>
    <row r="35" spans="1:15" ht="14.4" x14ac:dyDescent="0.3">
      <c r="A35" s="2"/>
      <c r="B35" s="153"/>
      <c r="C35" s="153"/>
      <c r="F35" s="290">
        <f t="shared" si="25"/>
        <v>2102400</v>
      </c>
      <c r="G35" s="290">
        <f t="shared" si="26"/>
        <v>4</v>
      </c>
      <c r="H35" s="28">
        <f t="shared" si="27"/>
        <v>253.14740807065053</v>
      </c>
      <c r="I35" s="28">
        <f t="shared" si="32"/>
        <v>87.872908210581301</v>
      </c>
      <c r="J35" s="291">
        <f t="shared" si="33"/>
        <v>165.27449986006923</v>
      </c>
      <c r="K35" s="290">
        <f t="shared" si="28"/>
        <v>120.40877476724245</v>
      </c>
      <c r="L35" s="290">
        <f t="shared" si="29"/>
        <v>41.796474605489585</v>
      </c>
      <c r="M35" s="290">
        <f t="shared" si="30"/>
        <v>78.612300161752856</v>
      </c>
      <c r="N35" s="318">
        <f t="shared" si="31"/>
        <v>104.81640021567051</v>
      </c>
    </row>
    <row r="36" spans="1:15" ht="14.4" x14ac:dyDescent="0.3">
      <c r="A36" s="2"/>
      <c r="B36" s="153"/>
      <c r="C36" s="153"/>
      <c r="F36" s="290">
        <f t="shared" si="25"/>
        <v>2628000</v>
      </c>
      <c r="G36" s="290">
        <f t="shared" si="26"/>
        <v>5</v>
      </c>
      <c r="H36" s="28">
        <f t="shared" si="27"/>
        <v>308.23890802400695</v>
      </c>
      <c r="I36" s="28">
        <f t="shared" si="32"/>
        <v>87.872908210581301</v>
      </c>
      <c r="J36" s="291">
        <f t="shared" si="33"/>
        <v>220.36599981342562</v>
      </c>
      <c r="K36" s="290">
        <f t="shared" si="28"/>
        <v>117.29029985692806</v>
      </c>
      <c r="L36" s="290">
        <f t="shared" si="29"/>
        <v>33.437179684391666</v>
      </c>
      <c r="M36" s="290">
        <f t="shared" si="30"/>
        <v>83.853120172536393</v>
      </c>
      <c r="N36" s="318">
        <f t="shared" si="31"/>
        <v>104.81640021567051</v>
      </c>
    </row>
    <row r="37" spans="1:15" ht="14.4" x14ac:dyDescent="0.3">
      <c r="A37" s="153"/>
      <c r="B37" s="153"/>
      <c r="C37" s="153"/>
      <c r="F37" s="290">
        <f t="shared" si="25"/>
        <v>3153600</v>
      </c>
      <c r="G37" s="290">
        <f t="shared" si="26"/>
        <v>6</v>
      </c>
      <c r="H37" s="28">
        <f t="shared" si="27"/>
        <v>363.33040797736328</v>
      </c>
      <c r="I37" s="28">
        <f t="shared" si="32"/>
        <v>87.872908210581301</v>
      </c>
      <c r="J37" s="291">
        <f t="shared" si="33"/>
        <v>275.45749976678201</v>
      </c>
      <c r="K37" s="290">
        <f t="shared" si="28"/>
        <v>115.2113165833851</v>
      </c>
      <c r="L37" s="290">
        <f t="shared" si="29"/>
        <v>27.864316403659721</v>
      </c>
      <c r="M37" s="290">
        <f t="shared" si="30"/>
        <v>87.347000179725384</v>
      </c>
      <c r="N37" s="318">
        <f t="shared" si="31"/>
        <v>104.81640021567034</v>
      </c>
    </row>
    <row r="38" spans="1:15" ht="14.4" x14ac:dyDescent="0.3">
      <c r="A38" s="153"/>
      <c r="B38" s="153"/>
      <c r="C38" s="153"/>
      <c r="F38" s="290">
        <f t="shared" si="25"/>
        <v>3679200</v>
      </c>
      <c r="G38" s="290">
        <f t="shared" si="26"/>
        <v>7</v>
      </c>
      <c r="H38" s="28">
        <f t="shared" si="27"/>
        <v>418.42190793071973</v>
      </c>
      <c r="I38" s="28">
        <f t="shared" si="32"/>
        <v>87.872908210581301</v>
      </c>
      <c r="J38" s="291">
        <f t="shared" si="33"/>
        <v>330.5489997201384</v>
      </c>
      <c r="K38" s="290">
        <f t="shared" si="28"/>
        <v>113.72632853085446</v>
      </c>
      <c r="L38" s="290">
        <f t="shared" si="29"/>
        <v>23.883699774565478</v>
      </c>
      <c r="M38" s="290">
        <f t="shared" si="30"/>
        <v>89.842628756288974</v>
      </c>
      <c r="N38" s="318">
        <f t="shared" si="31"/>
        <v>104.81640021567055</v>
      </c>
    </row>
    <row r="39" spans="1:15" ht="14.4" x14ac:dyDescent="0.3">
      <c r="A39" s="2"/>
      <c r="B39" s="153"/>
      <c r="C39" s="153"/>
      <c r="F39" s="290">
        <f t="shared" si="25"/>
        <v>4204800</v>
      </c>
      <c r="G39" s="290">
        <f t="shared" si="26"/>
        <v>8</v>
      </c>
      <c r="H39" s="28">
        <f t="shared" si="27"/>
        <v>473.51340788407606</v>
      </c>
      <c r="I39" s="28">
        <f t="shared" si="32"/>
        <v>87.872908210581301</v>
      </c>
      <c r="J39" s="291">
        <f t="shared" si="33"/>
        <v>385.64049967349479</v>
      </c>
      <c r="K39" s="290">
        <f t="shared" si="28"/>
        <v>112.61258749145645</v>
      </c>
      <c r="L39" s="290">
        <f t="shared" si="29"/>
        <v>20.898237302744793</v>
      </c>
      <c r="M39" s="290">
        <f t="shared" si="30"/>
        <v>91.714350188711663</v>
      </c>
      <c r="N39" s="318">
        <f t="shared" si="31"/>
        <v>104.81640021567034</v>
      </c>
    </row>
    <row r="40" spans="1:15" ht="14.4" x14ac:dyDescent="0.3">
      <c r="A40" s="2"/>
      <c r="B40" s="153"/>
      <c r="C40" s="153"/>
      <c r="F40" s="290">
        <f t="shared" si="25"/>
        <v>4730400</v>
      </c>
      <c r="G40" s="290">
        <f t="shared" si="26"/>
        <v>9</v>
      </c>
      <c r="H40" s="28">
        <f t="shared" si="27"/>
        <v>528.60490783743251</v>
      </c>
      <c r="I40" s="28">
        <f t="shared" si="32"/>
        <v>87.872908210581301</v>
      </c>
      <c r="J40" s="291">
        <f t="shared" si="33"/>
        <v>440.73199962685118</v>
      </c>
      <c r="K40" s="290">
        <f t="shared" si="28"/>
        <v>111.74634446081357</v>
      </c>
      <c r="L40" s="290">
        <f t="shared" si="29"/>
        <v>18.576210935773148</v>
      </c>
      <c r="M40" s="290">
        <f t="shared" si="30"/>
        <v>93.170133525040427</v>
      </c>
      <c r="N40" s="318">
        <f t="shared" si="31"/>
        <v>104.81640021567055</v>
      </c>
    </row>
    <row r="41" spans="1:15" ht="14.4" x14ac:dyDescent="0.3">
      <c r="A41" s="2"/>
      <c r="B41" s="153"/>
      <c r="C41" s="153"/>
      <c r="F41" s="290">
        <f t="shared" si="25"/>
        <v>5256000</v>
      </c>
      <c r="G41" s="290">
        <f t="shared" si="26"/>
        <v>10</v>
      </c>
      <c r="H41" s="28">
        <f t="shared" si="27"/>
        <v>583.69640779078884</v>
      </c>
      <c r="I41" s="28">
        <f t="shared" si="32"/>
        <v>87.872908210581301</v>
      </c>
      <c r="J41" s="291">
        <f t="shared" si="33"/>
        <v>495.82349958020757</v>
      </c>
      <c r="K41" s="290">
        <f t="shared" si="28"/>
        <v>111.05335003629926</v>
      </c>
      <c r="L41" s="290">
        <f t="shared" si="29"/>
        <v>16.718589842195833</v>
      </c>
      <c r="M41" s="290">
        <f t="shared" si="30"/>
        <v>94.334760194103424</v>
      </c>
      <c r="N41" s="318">
        <f t="shared" si="31"/>
        <v>104.81640021567034</v>
      </c>
      <c r="O41" s="153"/>
    </row>
    <row r="42" spans="1:15" ht="14.4" x14ac:dyDescent="0.3">
      <c r="A42" s="2" t="s">
        <v>417</v>
      </c>
      <c r="B42" s="153"/>
      <c r="C42" s="153"/>
      <c r="F42" s="153"/>
      <c r="G42" s="153"/>
      <c r="H42" s="153"/>
      <c r="I42" s="153"/>
      <c r="J42" s="153"/>
      <c r="K42" s="153"/>
      <c r="L42" s="153"/>
      <c r="M42" s="153"/>
      <c r="N42" s="153"/>
      <c r="O42" s="153"/>
    </row>
    <row r="43" spans="1:15" ht="14.4" x14ac:dyDescent="0.3">
      <c r="A43" s="2" t="s">
        <v>418</v>
      </c>
      <c r="B43" s="153"/>
      <c r="C43" s="153"/>
      <c r="F43" s="153"/>
      <c r="G43" s="153"/>
      <c r="H43" s="153"/>
      <c r="I43" s="153"/>
      <c r="J43" s="153"/>
      <c r="K43" s="153"/>
      <c r="L43" s="153"/>
      <c r="M43" s="153"/>
      <c r="N43" s="153"/>
      <c r="O43" s="153"/>
    </row>
    <row r="44" spans="1:15" ht="14.4" x14ac:dyDescent="0.3">
      <c r="A44" s="153"/>
      <c r="B44" s="153"/>
      <c r="C44" s="153"/>
      <c r="F44" s="153"/>
      <c r="G44" s="153"/>
      <c r="H44" s="153"/>
      <c r="I44" s="153"/>
      <c r="J44" s="153"/>
      <c r="K44" s="153"/>
      <c r="L44" s="153"/>
      <c r="M44" s="153"/>
      <c r="N44" s="153"/>
      <c r="O44" s="153"/>
    </row>
    <row r="45" spans="1:15" ht="14.4" x14ac:dyDescent="0.3">
      <c r="A45" s="153"/>
      <c r="B45" s="153"/>
      <c r="C45" s="153"/>
      <c r="F45" s="153"/>
      <c r="G45" s="153"/>
      <c r="H45" s="153"/>
      <c r="I45" s="153"/>
      <c r="J45" s="153"/>
      <c r="K45" s="153"/>
      <c r="L45" s="153"/>
      <c r="M45" s="153"/>
      <c r="N45" s="153"/>
      <c r="O45" s="153"/>
    </row>
    <row r="46" spans="1:15" ht="14.4" x14ac:dyDescent="0.3">
      <c r="A46" s="153"/>
      <c r="B46" s="153"/>
      <c r="C46" s="153"/>
      <c r="F46" s="153"/>
      <c r="G46" s="153"/>
      <c r="H46" s="153"/>
      <c r="I46" s="153"/>
      <c r="J46" s="153"/>
      <c r="K46" s="153"/>
      <c r="L46" s="153"/>
      <c r="M46" s="153"/>
      <c r="N46" s="153"/>
      <c r="O46" s="153"/>
    </row>
    <row r="47" spans="1:15" ht="14.4" x14ac:dyDescent="0.3">
      <c r="A47" s="153"/>
      <c r="B47" s="153"/>
      <c r="C47" s="153"/>
      <c r="F47" s="153"/>
      <c r="G47" s="153"/>
      <c r="H47" s="153"/>
      <c r="I47" s="153"/>
      <c r="J47" s="153"/>
      <c r="K47" s="153"/>
      <c r="L47" s="153"/>
      <c r="M47" s="153"/>
      <c r="N47" s="153"/>
      <c r="O47" s="153"/>
    </row>
    <row r="48" spans="1:15" ht="14.4" x14ac:dyDescent="0.3">
      <c r="A48" s="153"/>
      <c r="B48" s="153"/>
      <c r="C48" s="153"/>
      <c r="F48" s="153"/>
      <c r="G48" s="153"/>
      <c r="H48" s="153"/>
      <c r="I48" s="153"/>
      <c r="J48" s="153"/>
      <c r="K48" s="153"/>
      <c r="L48" s="153"/>
      <c r="M48" s="153"/>
      <c r="N48" s="153"/>
      <c r="O48" s="153"/>
    </row>
    <row r="49" spans="1:15" ht="14.4" x14ac:dyDescent="0.3">
      <c r="A49" s="153"/>
      <c r="B49" s="153"/>
      <c r="C49" s="153"/>
      <c r="F49" s="153"/>
      <c r="G49" s="153"/>
      <c r="H49" s="153"/>
      <c r="I49" s="153"/>
      <c r="J49" s="153"/>
      <c r="K49" s="153"/>
      <c r="L49" s="153"/>
      <c r="M49" s="153"/>
      <c r="N49" s="153"/>
      <c r="O49" s="153"/>
    </row>
    <row r="50" spans="1:15" ht="14.4" x14ac:dyDescent="0.3">
      <c r="A50" s="153"/>
      <c r="B50" s="153"/>
      <c r="C50" s="153"/>
    </row>
    <row r="51" spans="1:15" ht="14.4" x14ac:dyDescent="0.3">
      <c r="A51" s="153"/>
      <c r="B51" s="153"/>
      <c r="C51" s="153"/>
    </row>
    <row r="81" ht="14.4" customHeight="1" x14ac:dyDescent="0.25"/>
  </sheetData>
  <mergeCells count="5">
    <mergeCell ref="A1:C1"/>
    <mergeCell ref="F1:P1"/>
    <mergeCell ref="F15:P15"/>
    <mergeCell ref="R15:AK15"/>
    <mergeCell ref="F29:N29"/>
  </mergeCells>
  <conditionalFormatting sqref="M52:M72">
    <cfRule type="dataBar" priority="16">
      <dataBar>
        <cfvo type="min"/>
        <cfvo type="max"/>
        <color rgb="FF638EC6"/>
      </dataBar>
      <extLst>
        <ext xmlns:x14="http://schemas.microsoft.com/office/spreadsheetml/2009/9/main" uri="{B025F937-C7B1-47D3-B67F-A62EFF666E3E}">
          <x14:id>{E502A40A-31EF-457B-93E0-0F5D547078DD}</x14:id>
        </ext>
      </extLst>
    </cfRule>
  </conditionalFormatting>
  <conditionalFormatting sqref="L52:L72">
    <cfRule type="dataBar" priority="15">
      <dataBar>
        <cfvo type="min"/>
        <cfvo type="max"/>
        <color rgb="FF63C384"/>
      </dataBar>
      <extLst>
        <ext xmlns:x14="http://schemas.microsoft.com/office/spreadsheetml/2009/9/main" uri="{B025F937-C7B1-47D3-B67F-A62EFF666E3E}">
          <x14:id>{55F8F0C9-9780-41C8-AD72-A3BFB5A00A73}</x14:id>
        </ext>
      </extLst>
    </cfRule>
  </conditionalFormatting>
  <conditionalFormatting sqref="K52:K72">
    <cfRule type="dataBar" priority="14">
      <dataBar>
        <cfvo type="min"/>
        <cfvo type="max"/>
        <color rgb="FFFF555A"/>
      </dataBar>
      <extLst>
        <ext xmlns:x14="http://schemas.microsoft.com/office/spreadsheetml/2009/9/main" uri="{B025F937-C7B1-47D3-B67F-A62EFF666E3E}">
          <x14:id>{1B4121BF-2E7C-4436-9290-E897A3892EEB}</x14:id>
        </ext>
      </extLst>
    </cfRule>
  </conditionalFormatting>
  <conditionalFormatting sqref="N52:N72">
    <cfRule type="dataBar" priority="13">
      <dataBar>
        <cfvo type="min"/>
        <cfvo type="max"/>
        <color rgb="FFFF555A"/>
      </dataBar>
      <extLst>
        <ext xmlns:x14="http://schemas.microsoft.com/office/spreadsheetml/2009/9/main" uri="{B025F937-C7B1-47D3-B67F-A62EFF666E3E}">
          <x14:id>{5C34773F-AEB7-4FDF-87FE-0CD64F2B2EF9}</x14:id>
        </ext>
      </extLst>
    </cfRule>
  </conditionalFormatting>
  <conditionalFormatting sqref="O52:O72">
    <cfRule type="dataBar" priority="12">
      <dataBar>
        <cfvo type="min"/>
        <cfvo type="max"/>
        <color rgb="FF63C384"/>
      </dataBar>
      <extLst>
        <ext xmlns:x14="http://schemas.microsoft.com/office/spreadsheetml/2009/9/main" uri="{B025F937-C7B1-47D3-B67F-A62EFF666E3E}">
          <x14:id>{0E8C104D-2950-4589-A151-145B3D5DF0E0}</x14:id>
        </ext>
      </extLst>
    </cfRule>
  </conditionalFormatting>
  <conditionalFormatting sqref="P52:P72">
    <cfRule type="dataBar" priority="11">
      <dataBar>
        <cfvo type="min"/>
        <cfvo type="max"/>
        <color rgb="FF638EC6"/>
      </dataBar>
      <extLst>
        <ext xmlns:x14="http://schemas.microsoft.com/office/spreadsheetml/2009/9/main" uri="{B025F937-C7B1-47D3-B67F-A62EFF666E3E}">
          <x14:id>{639C6E6B-2352-4EF5-8D4B-87AA7DDCA1C7}</x14:id>
        </ext>
      </extLst>
    </cfRule>
  </conditionalFormatting>
  <conditionalFormatting sqref="N103:N110">
    <cfRule type="dataBar" priority="10">
      <dataBar>
        <cfvo type="min"/>
        <cfvo type="max"/>
        <color rgb="FFFF555A"/>
      </dataBar>
      <extLst>
        <ext xmlns:x14="http://schemas.microsoft.com/office/spreadsheetml/2009/9/main" uri="{B025F937-C7B1-47D3-B67F-A62EFF666E3E}">
          <x14:id>{E53A9629-FFAF-407D-8C75-2BAC1FB468FC}</x14:id>
        </ext>
      </extLst>
    </cfRule>
  </conditionalFormatting>
  <conditionalFormatting sqref="O103:O110">
    <cfRule type="dataBar" priority="9">
      <dataBar>
        <cfvo type="min"/>
        <cfvo type="max"/>
        <color rgb="FF63C384"/>
      </dataBar>
      <extLst>
        <ext xmlns:x14="http://schemas.microsoft.com/office/spreadsheetml/2009/9/main" uri="{B025F937-C7B1-47D3-B67F-A62EFF666E3E}">
          <x14:id>{1E029125-B8BC-489A-900F-56B41BE3BFD7}</x14:id>
        </ext>
      </extLst>
    </cfRule>
  </conditionalFormatting>
  <conditionalFormatting sqref="P103:P110">
    <cfRule type="dataBar" priority="8">
      <dataBar>
        <cfvo type="min"/>
        <cfvo type="max"/>
        <color rgb="FF638EC6"/>
      </dataBar>
      <extLst>
        <ext xmlns:x14="http://schemas.microsoft.com/office/spreadsheetml/2009/9/main" uri="{B025F937-C7B1-47D3-B67F-A62EFF666E3E}">
          <x14:id>{05B1F124-ABA7-4655-BA5D-B9BFA48F788D}</x14:id>
        </ext>
      </extLst>
    </cfRule>
  </conditionalFormatting>
  <conditionalFormatting sqref="H31:H41">
    <cfRule type="dataBar" priority="7">
      <dataBar>
        <cfvo type="min"/>
        <cfvo type="max"/>
        <color rgb="FFFF555A"/>
      </dataBar>
      <extLst>
        <ext xmlns:x14="http://schemas.microsoft.com/office/spreadsheetml/2009/9/main" uri="{B025F937-C7B1-47D3-B67F-A62EFF666E3E}">
          <x14:id>{1CDA621D-9BB6-4015-BAFE-341410D133E6}</x14:id>
        </ext>
      </extLst>
    </cfRule>
  </conditionalFormatting>
  <conditionalFormatting sqref="I32:I41">
    <cfRule type="dataBar" priority="6">
      <dataBar>
        <cfvo type="min"/>
        <cfvo type="max"/>
        <color rgb="FF63C384"/>
      </dataBar>
      <extLst>
        <ext xmlns:x14="http://schemas.microsoft.com/office/spreadsheetml/2009/9/main" uri="{B025F937-C7B1-47D3-B67F-A62EFF666E3E}">
          <x14:id>{20CDD3B1-B2ED-4B6B-BB3B-FF6D4F2054FD}</x14:id>
        </ext>
      </extLst>
    </cfRule>
  </conditionalFormatting>
  <conditionalFormatting sqref="J32:J41">
    <cfRule type="dataBar" priority="5">
      <dataBar>
        <cfvo type="min"/>
        <cfvo type="max"/>
        <color rgb="FF638EC6"/>
      </dataBar>
      <extLst>
        <ext xmlns:x14="http://schemas.microsoft.com/office/spreadsheetml/2009/9/main" uri="{B025F937-C7B1-47D3-B67F-A62EFF666E3E}">
          <x14:id>{5284CD11-5C7E-4A82-9C1B-DBDAE4A8B95E}</x14:id>
        </ext>
      </extLst>
    </cfRule>
  </conditionalFormatting>
  <conditionalFormatting sqref="K32:K41">
    <cfRule type="dataBar" priority="3">
      <dataBar>
        <cfvo type="min"/>
        <cfvo type="max"/>
        <color rgb="FFFF555A"/>
      </dataBar>
      <extLst>
        <ext xmlns:x14="http://schemas.microsoft.com/office/spreadsheetml/2009/9/main" uri="{B025F937-C7B1-47D3-B67F-A62EFF666E3E}">
          <x14:id>{539B7A47-4377-4E7D-BC1F-4D4BC1E22DE9}</x14:id>
        </ext>
      </extLst>
    </cfRule>
  </conditionalFormatting>
  <conditionalFormatting sqref="L32:L41">
    <cfRule type="dataBar" priority="2">
      <dataBar>
        <cfvo type="min"/>
        <cfvo type="max"/>
        <color rgb="FF63C384"/>
      </dataBar>
      <extLst>
        <ext xmlns:x14="http://schemas.microsoft.com/office/spreadsheetml/2009/9/main" uri="{B025F937-C7B1-47D3-B67F-A62EFF666E3E}">
          <x14:id>{2EDF5727-57EF-49D1-AFC7-F336117AEF52}</x14:id>
        </ext>
      </extLst>
    </cfRule>
  </conditionalFormatting>
  <conditionalFormatting sqref="K31:L31 M31:M41">
    <cfRule type="dataBar" priority="1">
      <dataBar>
        <cfvo type="min"/>
        <cfvo type="max"/>
        <color rgb="FF638EC6"/>
      </dataBar>
      <extLst>
        <ext xmlns:x14="http://schemas.microsoft.com/office/spreadsheetml/2009/9/main" uri="{B025F937-C7B1-47D3-B67F-A62EFF666E3E}">
          <x14:id>{D6A7AA4C-A9E1-4310-B78C-13689C78BDD5}</x14:id>
        </ext>
      </extLst>
    </cfRule>
  </conditionalFormatting>
  <conditionalFormatting sqref="N31">
    <cfRule type="dataBar" priority="4">
      <dataBar>
        <cfvo type="min"/>
        <cfvo type="max"/>
        <color rgb="FFFF555A"/>
      </dataBar>
      <extLst>
        <ext xmlns:x14="http://schemas.microsoft.com/office/spreadsheetml/2009/9/main" uri="{B025F937-C7B1-47D3-B67F-A62EFF666E3E}">
          <x14:id>{053865A9-EAC8-462B-987F-49719B5CA14E}</x14:id>
        </ext>
      </extLst>
    </cfRule>
  </conditionalFormatting>
  <pageMargins left="0.7" right="0.7" top="0.75" bottom="0.75" header="0.3" footer="0.3"/>
  <pageSetup orientation="portrait" r:id="rId1"/>
  <drawing r:id="rId2"/>
  <extLst>
    <ext xmlns:x14="http://schemas.microsoft.com/office/spreadsheetml/2009/9/main" uri="{78C0D931-6437-407d-A8EE-F0AAD7539E65}">
      <x14:conditionalFormattings>
        <x14:conditionalFormatting xmlns:xm="http://schemas.microsoft.com/office/excel/2006/main">
          <x14:cfRule type="dataBar" id="{E502A40A-31EF-457B-93E0-0F5D547078DD}">
            <x14:dataBar minLength="0" maxLength="100" border="1" negativeBarBorderColorSameAsPositive="0">
              <x14:cfvo type="autoMin"/>
              <x14:cfvo type="autoMax"/>
              <x14:borderColor rgb="FF638EC6"/>
              <x14:negativeFillColor rgb="FFFF0000"/>
              <x14:negativeBorderColor rgb="FFFF0000"/>
              <x14:axisColor rgb="FF000000"/>
            </x14:dataBar>
          </x14:cfRule>
          <xm:sqref>M52:M72</xm:sqref>
        </x14:conditionalFormatting>
        <x14:conditionalFormatting xmlns:xm="http://schemas.microsoft.com/office/excel/2006/main">
          <x14:cfRule type="dataBar" id="{55F8F0C9-9780-41C8-AD72-A3BFB5A00A73}">
            <x14:dataBar minLength="0" maxLength="100" border="1" negativeBarBorderColorSameAsPositive="0">
              <x14:cfvo type="autoMin"/>
              <x14:cfvo type="autoMax"/>
              <x14:borderColor rgb="FF63C384"/>
              <x14:negativeFillColor rgb="FFFF0000"/>
              <x14:negativeBorderColor rgb="FFFF0000"/>
              <x14:axisColor rgb="FF000000"/>
            </x14:dataBar>
          </x14:cfRule>
          <xm:sqref>L52:L72</xm:sqref>
        </x14:conditionalFormatting>
        <x14:conditionalFormatting xmlns:xm="http://schemas.microsoft.com/office/excel/2006/main">
          <x14:cfRule type="dataBar" id="{1B4121BF-2E7C-4436-9290-E897A3892EEB}">
            <x14:dataBar minLength="0" maxLength="100" border="1" negativeBarBorderColorSameAsPositive="0">
              <x14:cfvo type="autoMin"/>
              <x14:cfvo type="autoMax"/>
              <x14:borderColor rgb="FFFF555A"/>
              <x14:negativeFillColor rgb="FFFF0000"/>
              <x14:negativeBorderColor rgb="FFFF0000"/>
              <x14:axisColor rgb="FF000000"/>
            </x14:dataBar>
          </x14:cfRule>
          <xm:sqref>K52:K72</xm:sqref>
        </x14:conditionalFormatting>
        <x14:conditionalFormatting xmlns:xm="http://schemas.microsoft.com/office/excel/2006/main">
          <x14:cfRule type="dataBar" id="{5C34773F-AEB7-4FDF-87FE-0CD64F2B2EF9}">
            <x14:dataBar minLength="0" maxLength="100" border="1" negativeBarBorderColorSameAsPositive="0">
              <x14:cfvo type="autoMin"/>
              <x14:cfvo type="autoMax"/>
              <x14:borderColor rgb="FFFF555A"/>
              <x14:negativeFillColor rgb="FFFF0000"/>
              <x14:negativeBorderColor rgb="FFFF0000"/>
              <x14:axisColor rgb="FF000000"/>
            </x14:dataBar>
          </x14:cfRule>
          <xm:sqref>N52:N72</xm:sqref>
        </x14:conditionalFormatting>
        <x14:conditionalFormatting xmlns:xm="http://schemas.microsoft.com/office/excel/2006/main">
          <x14:cfRule type="dataBar" id="{0E8C104D-2950-4589-A151-145B3D5DF0E0}">
            <x14:dataBar minLength="0" maxLength="100" border="1" negativeBarBorderColorSameAsPositive="0">
              <x14:cfvo type="autoMin"/>
              <x14:cfvo type="autoMax"/>
              <x14:borderColor rgb="FF63C384"/>
              <x14:negativeFillColor rgb="FFFF0000"/>
              <x14:negativeBorderColor rgb="FFFF0000"/>
              <x14:axisColor rgb="FF000000"/>
            </x14:dataBar>
          </x14:cfRule>
          <xm:sqref>O52:O72</xm:sqref>
        </x14:conditionalFormatting>
        <x14:conditionalFormatting xmlns:xm="http://schemas.microsoft.com/office/excel/2006/main">
          <x14:cfRule type="dataBar" id="{639C6E6B-2352-4EF5-8D4B-87AA7DDCA1C7}">
            <x14:dataBar minLength="0" maxLength="100" border="1" negativeBarBorderColorSameAsPositive="0">
              <x14:cfvo type="autoMin"/>
              <x14:cfvo type="autoMax"/>
              <x14:borderColor rgb="FF638EC6"/>
              <x14:negativeFillColor rgb="FFFF0000"/>
              <x14:negativeBorderColor rgb="FFFF0000"/>
              <x14:axisColor rgb="FF000000"/>
            </x14:dataBar>
          </x14:cfRule>
          <xm:sqref>P52:P72</xm:sqref>
        </x14:conditionalFormatting>
        <x14:conditionalFormatting xmlns:xm="http://schemas.microsoft.com/office/excel/2006/main">
          <x14:cfRule type="dataBar" id="{E53A9629-FFAF-407D-8C75-2BAC1FB468FC}">
            <x14:dataBar minLength="0" maxLength="100" border="1" negativeBarBorderColorSameAsPositive="0">
              <x14:cfvo type="autoMin"/>
              <x14:cfvo type="autoMax"/>
              <x14:borderColor rgb="FFFF555A"/>
              <x14:negativeFillColor rgb="FFFF0000"/>
              <x14:negativeBorderColor rgb="FFFF0000"/>
              <x14:axisColor rgb="FF000000"/>
            </x14:dataBar>
          </x14:cfRule>
          <xm:sqref>N103:N110</xm:sqref>
        </x14:conditionalFormatting>
        <x14:conditionalFormatting xmlns:xm="http://schemas.microsoft.com/office/excel/2006/main">
          <x14:cfRule type="dataBar" id="{1E029125-B8BC-489A-900F-56B41BE3BFD7}">
            <x14:dataBar minLength="0" maxLength="100" border="1" negativeBarBorderColorSameAsPositive="0">
              <x14:cfvo type="autoMin"/>
              <x14:cfvo type="autoMax"/>
              <x14:borderColor rgb="FF63C384"/>
              <x14:negativeFillColor rgb="FFFF0000"/>
              <x14:negativeBorderColor rgb="FFFF0000"/>
              <x14:axisColor rgb="FF000000"/>
            </x14:dataBar>
          </x14:cfRule>
          <xm:sqref>O103:O110</xm:sqref>
        </x14:conditionalFormatting>
        <x14:conditionalFormatting xmlns:xm="http://schemas.microsoft.com/office/excel/2006/main">
          <x14:cfRule type="dataBar" id="{05B1F124-ABA7-4655-BA5D-B9BFA48F788D}">
            <x14:dataBar minLength="0" maxLength="100" border="1" negativeBarBorderColorSameAsPositive="0">
              <x14:cfvo type="autoMin"/>
              <x14:cfvo type="autoMax"/>
              <x14:borderColor rgb="FF638EC6"/>
              <x14:negativeFillColor rgb="FFFF0000"/>
              <x14:negativeBorderColor rgb="FFFF0000"/>
              <x14:axisColor rgb="FF000000"/>
            </x14:dataBar>
          </x14:cfRule>
          <xm:sqref>P103:P110</xm:sqref>
        </x14:conditionalFormatting>
        <x14:conditionalFormatting xmlns:xm="http://schemas.microsoft.com/office/excel/2006/main">
          <x14:cfRule type="dataBar" id="{1CDA621D-9BB6-4015-BAFE-341410D133E6}">
            <x14:dataBar minLength="0" maxLength="100" border="1" negativeBarBorderColorSameAsPositive="0">
              <x14:cfvo type="autoMin"/>
              <x14:cfvo type="autoMax"/>
              <x14:borderColor rgb="FFFF555A"/>
              <x14:negativeFillColor rgb="FFFF0000"/>
              <x14:negativeBorderColor rgb="FFFF0000"/>
              <x14:axisColor rgb="FF000000"/>
            </x14:dataBar>
          </x14:cfRule>
          <xm:sqref>H31:H41</xm:sqref>
        </x14:conditionalFormatting>
        <x14:conditionalFormatting xmlns:xm="http://schemas.microsoft.com/office/excel/2006/main">
          <x14:cfRule type="dataBar" id="{20CDD3B1-B2ED-4B6B-BB3B-FF6D4F2054FD}">
            <x14:dataBar minLength="0" maxLength="100" border="1" negativeBarBorderColorSameAsPositive="0">
              <x14:cfvo type="autoMin"/>
              <x14:cfvo type="autoMax"/>
              <x14:borderColor rgb="FF63C384"/>
              <x14:negativeFillColor rgb="FFFF0000"/>
              <x14:negativeBorderColor rgb="FFFF0000"/>
              <x14:axisColor rgb="FF000000"/>
            </x14:dataBar>
          </x14:cfRule>
          <xm:sqref>I32:I41</xm:sqref>
        </x14:conditionalFormatting>
        <x14:conditionalFormatting xmlns:xm="http://schemas.microsoft.com/office/excel/2006/main">
          <x14:cfRule type="dataBar" id="{5284CD11-5C7E-4A82-9C1B-DBDAE4A8B95E}">
            <x14:dataBar minLength="0" maxLength="100" border="1" negativeBarBorderColorSameAsPositive="0">
              <x14:cfvo type="autoMin"/>
              <x14:cfvo type="autoMax"/>
              <x14:borderColor rgb="FF638EC6"/>
              <x14:negativeFillColor rgb="FFFF0000"/>
              <x14:negativeBorderColor rgb="FFFF0000"/>
              <x14:axisColor rgb="FF000000"/>
            </x14:dataBar>
          </x14:cfRule>
          <xm:sqref>J32:J41</xm:sqref>
        </x14:conditionalFormatting>
        <x14:conditionalFormatting xmlns:xm="http://schemas.microsoft.com/office/excel/2006/main">
          <x14:cfRule type="dataBar" id="{539B7A47-4377-4E7D-BC1F-4D4BC1E22DE9}">
            <x14:dataBar minLength="0" maxLength="100" border="1" negativeBarBorderColorSameAsPositive="0">
              <x14:cfvo type="autoMin"/>
              <x14:cfvo type="autoMax"/>
              <x14:borderColor rgb="FFFF555A"/>
              <x14:negativeFillColor rgb="FFFF0000"/>
              <x14:negativeBorderColor rgb="FFFF0000"/>
              <x14:axisColor rgb="FF000000"/>
            </x14:dataBar>
          </x14:cfRule>
          <xm:sqref>K32:K41</xm:sqref>
        </x14:conditionalFormatting>
        <x14:conditionalFormatting xmlns:xm="http://schemas.microsoft.com/office/excel/2006/main">
          <x14:cfRule type="dataBar" id="{2EDF5727-57EF-49D1-AFC7-F336117AEF52}">
            <x14:dataBar minLength="0" maxLength="100" border="1" negativeBarBorderColorSameAsPositive="0">
              <x14:cfvo type="autoMin"/>
              <x14:cfvo type="autoMax"/>
              <x14:borderColor rgb="FF63C384"/>
              <x14:negativeFillColor rgb="FFFF0000"/>
              <x14:negativeBorderColor rgb="FFFF0000"/>
              <x14:axisColor rgb="FF000000"/>
            </x14:dataBar>
          </x14:cfRule>
          <xm:sqref>L32:L41</xm:sqref>
        </x14:conditionalFormatting>
        <x14:conditionalFormatting xmlns:xm="http://schemas.microsoft.com/office/excel/2006/main">
          <x14:cfRule type="dataBar" id="{D6A7AA4C-A9E1-4310-B78C-13689C78BDD5}">
            <x14:dataBar minLength="0" maxLength="100" border="1" negativeBarBorderColorSameAsPositive="0">
              <x14:cfvo type="autoMin"/>
              <x14:cfvo type="autoMax"/>
              <x14:borderColor rgb="FF638EC6"/>
              <x14:negativeFillColor rgb="FFFF0000"/>
              <x14:negativeBorderColor rgb="FFFF0000"/>
              <x14:axisColor rgb="FF000000"/>
            </x14:dataBar>
          </x14:cfRule>
          <xm:sqref>K31:L31 M31:M41</xm:sqref>
        </x14:conditionalFormatting>
        <x14:conditionalFormatting xmlns:xm="http://schemas.microsoft.com/office/excel/2006/main">
          <x14:cfRule type="dataBar" id="{053865A9-EAC8-462B-987F-49719B5CA14E}">
            <x14:dataBar minLength="0" maxLength="100" border="1" negativeBarBorderColorSameAsPositive="0">
              <x14:cfvo type="autoMin"/>
              <x14:cfvo type="autoMax"/>
              <x14:borderColor rgb="FFFF555A"/>
              <x14:negativeFillColor rgb="FFFF0000"/>
              <x14:negativeBorderColor rgb="FFFF0000"/>
              <x14:axisColor rgb="FF000000"/>
            </x14:dataBar>
          </x14:cfRule>
          <xm:sqref>N31</xm:sqref>
        </x14:conditionalFormatting>
      </x14:conditionalFormatting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8A82A1-E653-43D9-9694-CA0EB18080FC}">
  <sheetPr>
    <tabColor rgb="FFFFC000"/>
  </sheetPr>
  <dimension ref="A1:H21"/>
  <sheetViews>
    <sheetView zoomScale="115" zoomScaleNormal="115" workbookViewId="0">
      <selection activeCell="G17" sqref="G17"/>
    </sheetView>
  </sheetViews>
  <sheetFormatPr defaultRowHeight="13.8" x14ac:dyDescent="0.25"/>
  <cols>
    <col min="1" max="1" width="17.44140625" style="2" customWidth="1"/>
    <col min="2" max="2" width="25.44140625" style="2" bestFit="1" customWidth="1"/>
    <col min="3" max="3" width="7.77734375" style="2" customWidth="1"/>
    <col min="4" max="4" width="18.77734375" style="2" customWidth="1"/>
    <col min="5" max="5" width="25.77734375" style="2" bestFit="1" customWidth="1"/>
    <col min="6" max="6" width="7.6640625" style="2" customWidth="1"/>
    <col min="7" max="7" width="18.77734375" style="2" customWidth="1"/>
    <col min="8" max="8" width="25.77734375" style="2" bestFit="1" customWidth="1"/>
    <col min="9" max="10" width="18.77734375" style="2" customWidth="1"/>
    <col min="11" max="16384" width="8.88671875" style="2"/>
  </cols>
  <sheetData>
    <row r="1" spans="1:8" x14ac:dyDescent="0.25">
      <c r="A1" s="523" t="s">
        <v>538</v>
      </c>
      <c r="B1" s="524"/>
      <c r="D1" s="523" t="s">
        <v>536</v>
      </c>
      <c r="E1" s="524"/>
      <c r="G1" s="523" t="s">
        <v>537</v>
      </c>
      <c r="H1" s="524"/>
    </row>
    <row r="2" spans="1:8" x14ac:dyDescent="0.25">
      <c r="A2" s="319" t="str">
        <f>'Costs - DTE'!$F$30</f>
        <v>Minutes</v>
      </c>
      <c r="B2" s="435" t="str">
        <f>'Costs - DTE'!$K$30</f>
        <v>Average total cost ($/Min)</v>
      </c>
      <c r="D2" s="319" t="str">
        <f>'Costs - SR'!G50</f>
        <v>Minutes</v>
      </c>
      <c r="E2" s="435" t="str">
        <f>'Costs - SR'!N50</f>
        <v>Average total cost ($/Min)</v>
      </c>
      <c r="G2" s="319" t="str">
        <f>'Costs - SR'!G101</f>
        <v>Minutes</v>
      </c>
      <c r="H2" s="435" t="str">
        <f>'Costs - SR'!N101</f>
        <v>Average total cost ($/Min)</v>
      </c>
    </row>
    <row r="3" spans="1:8" x14ac:dyDescent="0.25">
      <c r="A3" s="454">
        <v>0</v>
      </c>
      <c r="B3" s="455">
        <v>0</v>
      </c>
      <c r="D3" s="454">
        <v>0</v>
      </c>
      <c r="E3" s="455">
        <v>0</v>
      </c>
      <c r="G3" s="454">
        <v>0</v>
      </c>
      <c r="H3" s="435">
        <f>'Costs - SR'!N102</f>
        <v>0</v>
      </c>
    </row>
    <row r="4" spans="1:8" x14ac:dyDescent="0.25">
      <c r="A4" s="319">
        <f>'Costs - DTE'!F32</f>
        <v>525600</v>
      </c>
      <c r="B4" s="435">
        <f>'Costs - DTE'!K32</f>
        <v>167.18589842195834</v>
      </c>
      <c r="D4" s="319">
        <f>'Costs - SR'!G52</f>
        <v>525600</v>
      </c>
      <c r="E4" s="435">
        <f>'Costs - SR'!N52</f>
        <v>1359.3811632150021</v>
      </c>
      <c r="G4" s="319">
        <f>'Costs - SR'!G103</f>
        <v>2102400</v>
      </c>
      <c r="H4" s="435">
        <f>'Costs - SR'!N103</f>
        <v>870.32433597681825</v>
      </c>
    </row>
    <row r="5" spans="1:8" x14ac:dyDescent="0.25">
      <c r="A5" s="319">
        <f>'Costs - DTE'!F33</f>
        <v>1051200</v>
      </c>
      <c r="B5" s="435">
        <f>'Costs - DTE'!K33</f>
        <v>136.00114931881441</v>
      </c>
      <c r="D5" s="319">
        <f>'Costs - SR'!G53</f>
        <v>1051200</v>
      </c>
      <c r="E5" s="435">
        <f>'Costs - SR'!N53</f>
        <v>855.66732794574909</v>
      </c>
      <c r="G5" s="319">
        <f>'Costs - SR'!G104</f>
        <v>4204800</v>
      </c>
      <c r="H5" s="435">
        <f>'Costs - SR'!N104</f>
        <v>537.98320617627178</v>
      </c>
    </row>
    <row r="6" spans="1:8" x14ac:dyDescent="0.25">
      <c r="A6" s="319">
        <f>'Costs - DTE'!F34</f>
        <v>1576800</v>
      </c>
      <c r="B6" s="435">
        <f>'Costs - DTE'!K34</f>
        <v>125.60623295109976</v>
      </c>
      <c r="D6" s="319">
        <f>'Costs - SR'!G54</f>
        <v>1576800</v>
      </c>
      <c r="E6" s="435">
        <f>'Costs - SR'!N54</f>
        <v>687.7627161893314</v>
      </c>
      <c r="G6" s="319">
        <f>'Costs - SR'!G105</f>
        <v>6307200</v>
      </c>
      <c r="H6" s="435">
        <f>'Costs - SR'!N105</f>
        <v>427.20282957608953</v>
      </c>
    </row>
    <row r="7" spans="1:8" x14ac:dyDescent="0.25">
      <c r="A7" s="319">
        <f>'Costs - DTE'!F35</f>
        <v>2102400</v>
      </c>
      <c r="B7" s="435">
        <f>'Costs - DTE'!K35</f>
        <v>120.40877476724245</v>
      </c>
      <c r="D7" s="319">
        <f>'Costs - SR'!G55</f>
        <v>2102400</v>
      </c>
      <c r="E7" s="435">
        <f>'Costs - SR'!N55</f>
        <v>603.8104103111225</v>
      </c>
      <c r="G7" s="319">
        <f>'Costs - SR'!G106</f>
        <v>8409600</v>
      </c>
      <c r="H7" s="435">
        <f>'Costs - SR'!N106</f>
        <v>371.81264127599843</v>
      </c>
    </row>
    <row r="8" spans="1:8" x14ac:dyDescent="0.25">
      <c r="A8" s="319">
        <f>'Costs - DTE'!F36</f>
        <v>2628000</v>
      </c>
      <c r="B8" s="435">
        <f>'Costs - DTE'!K36</f>
        <v>117.29029985692806</v>
      </c>
      <c r="D8" s="319">
        <f>'Costs - SR'!G56</f>
        <v>2628000</v>
      </c>
      <c r="E8" s="435">
        <f>'Costs - SR'!N56</f>
        <v>553.43902678419727</v>
      </c>
      <c r="G8" s="319">
        <f>'Costs - SR'!G107</f>
        <v>10512000</v>
      </c>
      <c r="H8" s="435">
        <f>'Costs - SR'!N107</f>
        <v>338.57852829594384</v>
      </c>
    </row>
    <row r="9" spans="1:8" x14ac:dyDescent="0.25">
      <c r="A9" s="319">
        <f>'Costs - DTE'!F37</f>
        <v>3153600</v>
      </c>
      <c r="B9" s="435">
        <f>'Costs - DTE'!K37</f>
        <v>115.2113165833851</v>
      </c>
      <c r="D9" s="319">
        <f>'Costs - SR'!G57</f>
        <v>3153600</v>
      </c>
      <c r="E9" s="435">
        <f>'Costs - SR'!N57</f>
        <v>519.85810443291382</v>
      </c>
      <c r="G9" s="319">
        <f>'Costs - SR'!G108</f>
        <v>12614400</v>
      </c>
      <c r="H9" s="435">
        <f>'Costs - SR'!N108</f>
        <v>316.42245297590739</v>
      </c>
    </row>
    <row r="10" spans="1:8" x14ac:dyDescent="0.25">
      <c r="A10" s="319">
        <f>'Costs - DTE'!F38</f>
        <v>3679200</v>
      </c>
      <c r="B10" s="435">
        <f>'Costs - DTE'!K38</f>
        <v>113.72632853085446</v>
      </c>
      <c r="D10" s="319">
        <f>'Costs - SR'!G58</f>
        <v>3679200</v>
      </c>
      <c r="E10" s="435">
        <f>'Costs - SR'!N58</f>
        <v>495.87173132485407</v>
      </c>
      <c r="G10" s="319">
        <f>'Costs - SR'!G109</f>
        <v>14716800</v>
      </c>
      <c r="H10" s="435">
        <f>'Costs - SR'!N109</f>
        <v>300.59668489016707</v>
      </c>
    </row>
    <row r="11" spans="1:8" ht="14.4" thickBot="1" x14ac:dyDescent="0.3">
      <c r="A11" s="331">
        <f>'Costs - DTE'!F39</f>
        <v>4204800</v>
      </c>
      <c r="B11" s="436">
        <f>'Costs - DTE'!K39</f>
        <v>112.61258749145645</v>
      </c>
      <c r="D11" s="319">
        <f>'Costs - SR'!G59</f>
        <v>4204800</v>
      </c>
      <c r="E11" s="435">
        <f>'Costs - SR'!N59</f>
        <v>477.88195149380942</v>
      </c>
      <c r="G11" s="331">
        <f>'Costs - SR'!G110</f>
        <v>16819200</v>
      </c>
      <c r="H11" s="436">
        <f>'Costs - SR'!N110</f>
        <v>288.72735882586187</v>
      </c>
    </row>
    <row r="12" spans="1:8" x14ac:dyDescent="0.25">
      <c r="D12" s="319">
        <f>'Costs - SR'!G60</f>
        <v>4730400</v>
      </c>
      <c r="E12" s="435">
        <f>'Costs - SR'!N60</f>
        <v>463.88990051410792</v>
      </c>
      <c r="G12" s="22"/>
      <c r="H12" s="22"/>
    </row>
    <row r="13" spans="1:8" x14ac:dyDescent="0.25">
      <c r="D13" s="319">
        <f>'Costs - SR'!G61</f>
        <v>5256000</v>
      </c>
      <c r="E13" s="435">
        <f>'Costs - SR'!N61</f>
        <v>452.6962597303467</v>
      </c>
      <c r="G13" s="22"/>
      <c r="H13" s="22"/>
    </row>
    <row r="14" spans="1:8" x14ac:dyDescent="0.25">
      <c r="D14" s="319">
        <f>'Costs - SR'!G62</f>
        <v>5781600</v>
      </c>
      <c r="E14" s="435">
        <f>'Costs - SR'!N62</f>
        <v>443.53782636181489</v>
      </c>
      <c r="G14" s="22"/>
      <c r="H14" s="22"/>
    </row>
    <row r="15" spans="1:8" x14ac:dyDescent="0.25">
      <c r="D15" s="319">
        <f>'Costs - SR'!G63</f>
        <v>6307200</v>
      </c>
      <c r="E15" s="435">
        <f>'Costs - SR'!N63</f>
        <v>435.90579855470503</v>
      </c>
      <c r="G15" s="22"/>
      <c r="H15" s="22"/>
    </row>
    <row r="16" spans="1:8" x14ac:dyDescent="0.25">
      <c r="D16" s="319">
        <f>'Costs - SR'!G64</f>
        <v>6832800</v>
      </c>
      <c r="E16" s="435">
        <f>'Costs - SR'!N64</f>
        <v>429.44792887176584</v>
      </c>
      <c r="G16" s="22"/>
    </row>
    <row r="17" spans="4:7" x14ac:dyDescent="0.25">
      <c r="D17" s="319">
        <f>'Costs - SR'!G65</f>
        <v>7358400</v>
      </c>
      <c r="E17" s="435">
        <f>'Costs - SR'!N65</f>
        <v>423.9126120006751</v>
      </c>
      <c r="G17" s="22"/>
    </row>
    <row r="18" spans="4:7" x14ac:dyDescent="0.25">
      <c r="D18" s="319">
        <f>'Costs - SR'!G66</f>
        <v>7884000</v>
      </c>
      <c r="E18" s="435">
        <f>'Costs - SR'!N66</f>
        <v>419.11533737906325</v>
      </c>
      <c r="G18" s="22"/>
    </row>
    <row r="19" spans="4:7" x14ac:dyDescent="0.25">
      <c r="D19" s="319">
        <f>'Costs - SR'!G67</f>
        <v>8409600</v>
      </c>
      <c r="E19" s="435">
        <f>'Costs - SR'!N67</f>
        <v>414.91772208515277</v>
      </c>
      <c r="G19" s="22"/>
    </row>
    <row r="20" spans="4:7" x14ac:dyDescent="0.25">
      <c r="D20" s="319">
        <f>'Costs - SR'!G68</f>
        <v>8935200</v>
      </c>
      <c r="E20" s="435">
        <f>'Costs - SR'!N68</f>
        <v>411.21394388464353</v>
      </c>
      <c r="G20" s="22"/>
    </row>
    <row r="21" spans="4:7" ht="14.4" thickBot="1" x14ac:dyDescent="0.3">
      <c r="D21" s="331">
        <f>'Costs - SR'!G69</f>
        <v>9460800</v>
      </c>
      <c r="E21" s="436">
        <f>'Costs - SR'!N69</f>
        <v>407.92169659530202</v>
      </c>
    </row>
  </sheetData>
  <mergeCells count="3">
    <mergeCell ref="D1:E1"/>
    <mergeCell ref="G1:H1"/>
    <mergeCell ref="A1:B1"/>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633700-C910-465F-9A08-EFEB3D0FAB3D}">
  <sheetPr>
    <tabColor theme="5"/>
  </sheetPr>
  <dimension ref="A1:V224"/>
  <sheetViews>
    <sheetView zoomScaleNormal="100" workbookViewId="0">
      <selection activeCell="D24" sqref="D24"/>
    </sheetView>
  </sheetViews>
  <sheetFormatPr defaultRowHeight="14.4" x14ac:dyDescent="0.3"/>
  <cols>
    <col min="1" max="1" width="8.88671875" style="35"/>
    <col min="2" max="2" width="57.21875" style="35" customWidth="1"/>
    <col min="3" max="3" width="16.5546875" style="19" bestFit="1" customWidth="1"/>
    <col min="4" max="12" width="16.77734375" style="19" bestFit="1" customWidth="1"/>
    <col min="13" max="13" width="16.5546875" style="19" bestFit="1" customWidth="1"/>
    <col min="14" max="22" width="16.77734375" style="19" bestFit="1" customWidth="1"/>
    <col min="23" max="16384" width="8.88671875" style="35"/>
  </cols>
  <sheetData>
    <row r="1" spans="1:22" x14ac:dyDescent="0.3">
      <c r="A1" s="525">
        <v>0.2</v>
      </c>
      <c r="B1" s="35" t="s">
        <v>162</v>
      </c>
      <c r="L1" s="20"/>
      <c r="M1" s="20"/>
    </row>
    <row r="2" spans="1:22" x14ac:dyDescent="0.3">
      <c r="A2" s="526"/>
      <c r="B2" s="78" t="s">
        <v>82</v>
      </c>
      <c r="C2" s="78">
        <v>2021</v>
      </c>
      <c r="D2" s="79">
        <v>2022</v>
      </c>
      <c r="E2" s="78">
        <v>2023</v>
      </c>
      <c r="F2" s="79">
        <v>2024</v>
      </c>
      <c r="G2" s="78">
        <v>2025</v>
      </c>
      <c r="H2" s="79">
        <v>2026</v>
      </c>
      <c r="I2" s="78">
        <v>2027</v>
      </c>
      <c r="J2" s="79">
        <v>2028</v>
      </c>
      <c r="K2" s="78">
        <v>2029</v>
      </c>
      <c r="L2" s="79">
        <v>2030</v>
      </c>
      <c r="M2" s="78">
        <v>2031</v>
      </c>
      <c r="N2" s="79">
        <v>2032</v>
      </c>
      <c r="O2" s="78">
        <v>2033</v>
      </c>
      <c r="P2" s="79">
        <v>2034</v>
      </c>
      <c r="Q2" s="78">
        <v>2035</v>
      </c>
      <c r="R2" s="79">
        <v>2036</v>
      </c>
      <c r="S2" s="78">
        <v>2037</v>
      </c>
      <c r="T2" s="79">
        <v>2038</v>
      </c>
      <c r="U2" s="78">
        <v>2039</v>
      </c>
      <c r="V2" s="79">
        <v>2040</v>
      </c>
    </row>
    <row r="3" spans="1:22" x14ac:dyDescent="0.3">
      <c r="A3" s="526"/>
      <c r="B3" s="33" t="str">
        <f>DTE_demand_forecast!B62</f>
        <v>Human Space Flight</v>
      </c>
      <c r="C3" s="81" t="str">
        <f>IFERROR(DTE_demand_forecast!C62*Historical_Cost!#REF!,"-")</f>
        <v>-</v>
      </c>
      <c r="D3" s="81" t="str">
        <f>IFERROR(DTE_demand_forecast!D62*Historical_Cost!#REF!,"-")</f>
        <v>-</v>
      </c>
      <c r="E3" s="81" t="str">
        <f>IFERROR(DTE_demand_forecast!E62*Historical_Cost!#REF!,"-")</f>
        <v>-</v>
      </c>
      <c r="F3" s="81" t="str">
        <f>IFERROR(DTE_demand_forecast!F62*Historical_Cost!#REF!,"-")</f>
        <v>-</v>
      </c>
      <c r="G3" s="81" t="str">
        <f>IFERROR(DTE_demand_forecast!G62*Historical_Cost!#REF!,"-")</f>
        <v>-</v>
      </c>
      <c r="H3" s="81" t="str">
        <f>IFERROR(DTE_demand_forecast!H62*Historical_Cost!#REF!,"-")</f>
        <v>-</v>
      </c>
      <c r="I3" s="81" t="str">
        <f>IFERROR(DTE_demand_forecast!I62*Historical_Cost!#REF!,"-")</f>
        <v>-</v>
      </c>
      <c r="J3" s="81" t="str">
        <f>IFERROR(DTE_demand_forecast!J62*Historical_Cost!#REF!,"-")</f>
        <v>-</v>
      </c>
      <c r="K3" s="81" t="str">
        <f>IFERROR(DTE_demand_forecast!K62*Historical_Cost!#REF!,"-")</f>
        <v>-</v>
      </c>
      <c r="L3" s="81" t="str">
        <f>IFERROR(DTE_demand_forecast!L62*Historical_Cost!#REF!,"-")</f>
        <v>-</v>
      </c>
      <c r="M3" s="81" t="str">
        <f>IFERROR(DTE_demand_forecast!M62*Historical_Cost!#REF!,"-")</f>
        <v>-</v>
      </c>
      <c r="N3" s="81" t="str">
        <f>IFERROR(DTE_demand_forecast!N62*Historical_Cost!#REF!,"-")</f>
        <v>-</v>
      </c>
      <c r="O3" s="81" t="str">
        <f>IFERROR(DTE_demand_forecast!O62*Historical_Cost!#REF!,"-")</f>
        <v>-</v>
      </c>
      <c r="P3" s="81" t="str">
        <f>IFERROR(DTE_demand_forecast!P62*Historical_Cost!#REF!,"-")</f>
        <v>-</v>
      </c>
      <c r="Q3" s="81" t="str">
        <f>IFERROR(DTE_demand_forecast!Q62*Historical_Cost!#REF!,"-")</f>
        <v>-</v>
      </c>
      <c r="R3" s="81" t="str">
        <f>IFERROR(DTE_demand_forecast!R62*Historical_Cost!#REF!,"-")</f>
        <v>-</v>
      </c>
      <c r="S3" s="81" t="str">
        <f>IFERROR(DTE_demand_forecast!S62*Historical_Cost!#REF!,"-")</f>
        <v>-</v>
      </c>
      <c r="T3" s="81" t="str">
        <f>IFERROR(DTE_demand_forecast!T62*Historical_Cost!#REF!,"-")</f>
        <v>-</v>
      </c>
      <c r="U3" s="81" t="str">
        <f>IFERROR(DTE_demand_forecast!U62*Historical_Cost!#REF!,"-")</f>
        <v>-</v>
      </c>
      <c r="V3" s="81" t="str">
        <f>IFERROR(DTE_demand_forecast!V62*Historical_Cost!#REF!,"-")</f>
        <v>-</v>
      </c>
    </row>
    <row r="4" spans="1:22" x14ac:dyDescent="0.3">
      <c r="A4" s="526"/>
      <c r="B4" s="33" t="str">
        <f>DTE_demand_forecast!B63</f>
        <v>Near Earth Robotic - LEO Science</v>
      </c>
      <c r="C4" s="81" t="str">
        <f>IFERROR(DTE_demand_forecast!C63*Historical_Cost!#REF!,"-")</f>
        <v>-</v>
      </c>
      <c r="D4" s="81" t="str">
        <f>IFERROR(DTE_demand_forecast!D63*Historical_Cost!#REF!,"-")</f>
        <v>-</v>
      </c>
      <c r="E4" s="81" t="str">
        <f>IFERROR(DTE_demand_forecast!E63*Historical_Cost!#REF!,"-")</f>
        <v>-</v>
      </c>
      <c r="F4" s="81" t="str">
        <f>IFERROR(DTE_demand_forecast!F63*Historical_Cost!#REF!,"-")</f>
        <v>-</v>
      </c>
      <c r="G4" s="81" t="str">
        <f>IFERROR(DTE_demand_forecast!G63*Historical_Cost!#REF!,"-")</f>
        <v>-</v>
      </c>
      <c r="H4" s="81" t="str">
        <f>IFERROR(DTE_demand_forecast!H63*Historical_Cost!#REF!,"-")</f>
        <v>-</v>
      </c>
      <c r="I4" s="81" t="str">
        <f>IFERROR(DTE_demand_forecast!I63*Historical_Cost!#REF!,"-")</f>
        <v>-</v>
      </c>
      <c r="J4" s="81" t="str">
        <f>IFERROR(DTE_demand_forecast!J63*Historical_Cost!#REF!,"-")</f>
        <v>-</v>
      </c>
      <c r="K4" s="81" t="str">
        <f>IFERROR(DTE_demand_forecast!K63*Historical_Cost!#REF!,"-")</f>
        <v>-</v>
      </c>
      <c r="L4" s="81" t="str">
        <f>IFERROR(DTE_demand_forecast!L63*Historical_Cost!#REF!,"-")</f>
        <v>-</v>
      </c>
      <c r="M4" s="81" t="str">
        <f>IFERROR(DTE_demand_forecast!M63*Historical_Cost!#REF!,"-")</f>
        <v>-</v>
      </c>
      <c r="N4" s="81" t="str">
        <f>IFERROR(DTE_demand_forecast!N63*Historical_Cost!#REF!,"-")</f>
        <v>-</v>
      </c>
      <c r="O4" s="81" t="str">
        <f>IFERROR(DTE_demand_forecast!O63*Historical_Cost!#REF!,"-")</f>
        <v>-</v>
      </c>
      <c r="P4" s="81" t="str">
        <f>IFERROR(DTE_demand_forecast!P63*Historical_Cost!#REF!,"-")</f>
        <v>-</v>
      </c>
      <c r="Q4" s="81" t="str">
        <f>IFERROR(DTE_demand_forecast!Q63*Historical_Cost!#REF!,"-")</f>
        <v>-</v>
      </c>
      <c r="R4" s="81" t="str">
        <f>IFERROR(DTE_demand_forecast!R63*Historical_Cost!#REF!,"-")</f>
        <v>-</v>
      </c>
      <c r="S4" s="81" t="str">
        <f>IFERROR(DTE_demand_forecast!S63*Historical_Cost!#REF!,"-")</f>
        <v>-</v>
      </c>
      <c r="T4" s="81" t="str">
        <f>IFERROR(DTE_demand_forecast!T63*Historical_Cost!#REF!,"-")</f>
        <v>-</v>
      </c>
      <c r="U4" s="81" t="str">
        <f>IFERROR(DTE_demand_forecast!U63*Historical_Cost!#REF!,"-")</f>
        <v>-</v>
      </c>
      <c r="V4" s="81" t="str">
        <f>IFERROR(DTE_demand_forecast!V63*Historical_Cost!#REF!,"-")</f>
        <v>-</v>
      </c>
    </row>
    <row r="5" spans="1:22" x14ac:dyDescent="0.3">
      <c r="A5" s="526"/>
      <c r="B5" s="33" t="str">
        <f>DTE_demand_forecast!B64</f>
        <v>Near Earth Robotic - GEO and Near Earth</v>
      </c>
      <c r="C5" s="81" t="str">
        <f>IFERROR(DTE_demand_forecast!C64*Historical_Cost!#REF!,"-")</f>
        <v>-</v>
      </c>
      <c r="D5" s="81" t="str">
        <f>IFERROR(DTE_demand_forecast!D64*Historical_Cost!#REF!,"-")</f>
        <v>-</v>
      </c>
      <c r="E5" s="81" t="str">
        <f>IFERROR(DTE_demand_forecast!E64*Historical_Cost!#REF!,"-")</f>
        <v>-</v>
      </c>
      <c r="F5" s="81" t="str">
        <f>IFERROR(DTE_demand_forecast!F64*Historical_Cost!#REF!,"-")</f>
        <v>-</v>
      </c>
      <c r="G5" s="81" t="str">
        <f>IFERROR(DTE_demand_forecast!G64*Historical_Cost!#REF!,"-")</f>
        <v>-</v>
      </c>
      <c r="H5" s="81" t="str">
        <f>IFERROR(DTE_demand_forecast!H64*Historical_Cost!#REF!,"-")</f>
        <v>-</v>
      </c>
      <c r="I5" s="81" t="str">
        <f>IFERROR(DTE_demand_forecast!I64*Historical_Cost!#REF!,"-")</f>
        <v>-</v>
      </c>
      <c r="J5" s="81" t="str">
        <f>IFERROR(DTE_demand_forecast!J64*Historical_Cost!#REF!,"-")</f>
        <v>-</v>
      </c>
      <c r="K5" s="81" t="str">
        <f>IFERROR(DTE_demand_forecast!K64*Historical_Cost!#REF!,"-")</f>
        <v>-</v>
      </c>
      <c r="L5" s="81" t="str">
        <f>IFERROR(DTE_demand_forecast!L64*Historical_Cost!#REF!,"-")</f>
        <v>-</v>
      </c>
      <c r="M5" s="81" t="str">
        <f>IFERROR(DTE_demand_forecast!M64*Historical_Cost!#REF!,"-")</f>
        <v>-</v>
      </c>
      <c r="N5" s="81" t="str">
        <f>IFERROR(DTE_demand_forecast!N64*Historical_Cost!#REF!,"-")</f>
        <v>-</v>
      </c>
      <c r="O5" s="81" t="str">
        <f>IFERROR(DTE_demand_forecast!O64*Historical_Cost!#REF!,"-")</f>
        <v>-</v>
      </c>
      <c r="P5" s="81" t="str">
        <f>IFERROR(DTE_demand_forecast!P64*Historical_Cost!#REF!,"-")</f>
        <v>-</v>
      </c>
      <c r="Q5" s="81" t="str">
        <f>IFERROR(DTE_demand_forecast!Q64*Historical_Cost!#REF!,"-")</f>
        <v>-</v>
      </c>
      <c r="R5" s="81" t="str">
        <f>IFERROR(DTE_demand_forecast!R64*Historical_Cost!#REF!,"-")</f>
        <v>-</v>
      </c>
      <c r="S5" s="81" t="str">
        <f>IFERROR(DTE_demand_forecast!S64*Historical_Cost!#REF!,"-")</f>
        <v>-</v>
      </c>
      <c r="T5" s="81" t="str">
        <f>IFERROR(DTE_demand_forecast!T64*Historical_Cost!#REF!,"-")</f>
        <v>-</v>
      </c>
      <c r="U5" s="81" t="str">
        <f>IFERROR(DTE_demand_forecast!U64*Historical_Cost!#REF!,"-")</f>
        <v>-</v>
      </c>
      <c r="V5" s="81" t="str">
        <f>IFERROR(DTE_demand_forecast!V64*Historical_Cost!#REF!,"-")</f>
        <v>-</v>
      </c>
    </row>
    <row r="6" spans="1:22" x14ac:dyDescent="0.3">
      <c r="A6" s="526"/>
      <c r="B6" s="33" t="str">
        <f>DTE_demand_forecast!B65</f>
        <v>Deep Space Robotic</v>
      </c>
      <c r="C6" s="81" t="str">
        <f>IFERROR(DTE_demand_forecast!C65*Historical_Cost!#REF!,"-")</f>
        <v>-</v>
      </c>
      <c r="D6" s="81" t="str">
        <f>IFERROR(DTE_demand_forecast!D65*Historical_Cost!#REF!,"-")</f>
        <v>-</v>
      </c>
      <c r="E6" s="81" t="str">
        <f>IFERROR(DTE_demand_forecast!E65*Historical_Cost!#REF!,"-")</f>
        <v>-</v>
      </c>
      <c r="F6" s="81" t="str">
        <f>IFERROR(DTE_demand_forecast!F65*Historical_Cost!#REF!,"-")</f>
        <v>-</v>
      </c>
      <c r="G6" s="81" t="str">
        <f>IFERROR(DTE_demand_forecast!G65*Historical_Cost!#REF!,"-")</f>
        <v>-</v>
      </c>
      <c r="H6" s="81" t="str">
        <f>IFERROR(DTE_demand_forecast!H65*Historical_Cost!#REF!,"-")</f>
        <v>-</v>
      </c>
      <c r="I6" s="81" t="str">
        <f>IFERROR(DTE_demand_forecast!I65*Historical_Cost!#REF!,"-")</f>
        <v>-</v>
      </c>
      <c r="J6" s="81" t="str">
        <f>IFERROR(DTE_demand_forecast!J65*Historical_Cost!#REF!,"-")</f>
        <v>-</v>
      </c>
      <c r="K6" s="81" t="str">
        <f>IFERROR(DTE_demand_forecast!K65*Historical_Cost!#REF!,"-")</f>
        <v>-</v>
      </c>
      <c r="L6" s="81" t="str">
        <f>IFERROR(DTE_demand_forecast!L65*Historical_Cost!#REF!,"-")</f>
        <v>-</v>
      </c>
      <c r="M6" s="81" t="str">
        <f>IFERROR(DTE_demand_forecast!M65*Historical_Cost!#REF!,"-")</f>
        <v>-</v>
      </c>
      <c r="N6" s="81" t="str">
        <f>IFERROR(DTE_demand_forecast!N65*Historical_Cost!#REF!,"-")</f>
        <v>-</v>
      </c>
      <c r="O6" s="81" t="str">
        <f>IFERROR(DTE_demand_forecast!O65*Historical_Cost!#REF!,"-")</f>
        <v>-</v>
      </c>
      <c r="P6" s="81" t="str">
        <f>IFERROR(DTE_demand_forecast!P65*Historical_Cost!#REF!,"-")</f>
        <v>-</v>
      </c>
      <c r="Q6" s="81" t="str">
        <f>IFERROR(DTE_demand_forecast!Q65*Historical_Cost!#REF!,"-")</f>
        <v>-</v>
      </c>
      <c r="R6" s="81" t="str">
        <f>IFERROR(DTE_demand_forecast!R65*Historical_Cost!#REF!,"-")</f>
        <v>-</v>
      </c>
      <c r="S6" s="81" t="str">
        <f>IFERROR(DTE_demand_forecast!S65*Historical_Cost!#REF!,"-")</f>
        <v>-</v>
      </c>
      <c r="T6" s="81" t="str">
        <f>IFERROR(DTE_demand_forecast!T65*Historical_Cost!#REF!,"-")</f>
        <v>-</v>
      </c>
      <c r="U6" s="81" t="str">
        <f>IFERROR(DTE_demand_forecast!U65*Historical_Cost!#REF!,"-")</f>
        <v>-</v>
      </c>
      <c r="V6" s="81" t="str">
        <f>IFERROR(DTE_demand_forecast!V65*Historical_Cost!#REF!,"-")</f>
        <v>-</v>
      </c>
    </row>
    <row r="7" spans="1:22" x14ac:dyDescent="0.3">
      <c r="A7" s="526"/>
      <c r="B7" s="33" t="str">
        <f>DTE_demand_forecast!B66</f>
        <v>Near Earth Robotic - Low Latency &amp; Complex Needs</v>
      </c>
      <c r="C7" s="81" t="str">
        <f>IFERROR(DTE_demand_forecast!C66*Historical_Cost!#REF!,"-")</f>
        <v>-</v>
      </c>
      <c r="D7" s="81" t="str">
        <f>IFERROR(DTE_demand_forecast!D66*Historical_Cost!#REF!,"-")</f>
        <v>-</v>
      </c>
      <c r="E7" s="81" t="str">
        <f>IFERROR(DTE_demand_forecast!E66*Historical_Cost!#REF!,"-")</f>
        <v>-</v>
      </c>
      <c r="F7" s="81" t="str">
        <f>IFERROR(DTE_demand_forecast!F66*Historical_Cost!#REF!,"-")</f>
        <v>-</v>
      </c>
      <c r="G7" s="81" t="str">
        <f>IFERROR(DTE_demand_forecast!G66*Historical_Cost!#REF!,"-")</f>
        <v>-</v>
      </c>
      <c r="H7" s="81" t="str">
        <f>IFERROR(DTE_demand_forecast!H66*Historical_Cost!#REF!,"-")</f>
        <v>-</v>
      </c>
      <c r="I7" s="81" t="str">
        <f>IFERROR(DTE_demand_forecast!I66*Historical_Cost!#REF!,"-")</f>
        <v>-</v>
      </c>
      <c r="J7" s="81" t="str">
        <f>IFERROR(DTE_demand_forecast!J66*Historical_Cost!#REF!,"-")</f>
        <v>-</v>
      </c>
      <c r="K7" s="81" t="str">
        <f>IFERROR(DTE_demand_forecast!K66*Historical_Cost!#REF!,"-")</f>
        <v>-</v>
      </c>
      <c r="L7" s="81" t="str">
        <f>IFERROR(DTE_demand_forecast!L66*Historical_Cost!#REF!,"-")</f>
        <v>-</v>
      </c>
      <c r="M7" s="81" t="str">
        <f>IFERROR(DTE_demand_forecast!M66*Historical_Cost!#REF!,"-")</f>
        <v>-</v>
      </c>
      <c r="N7" s="81" t="str">
        <f>IFERROR(DTE_demand_forecast!N66*Historical_Cost!#REF!,"-")</f>
        <v>-</v>
      </c>
      <c r="O7" s="81" t="str">
        <f>IFERROR(DTE_demand_forecast!O66*Historical_Cost!#REF!,"-")</f>
        <v>-</v>
      </c>
      <c r="P7" s="81" t="str">
        <f>IFERROR(DTE_demand_forecast!P66*Historical_Cost!#REF!,"-")</f>
        <v>-</v>
      </c>
      <c r="Q7" s="81" t="str">
        <f>IFERROR(DTE_demand_forecast!Q66*Historical_Cost!#REF!,"-")</f>
        <v>-</v>
      </c>
      <c r="R7" s="81" t="str">
        <f>IFERROR(DTE_demand_forecast!R66*Historical_Cost!#REF!,"-")</f>
        <v>-</v>
      </c>
      <c r="S7" s="81" t="str">
        <f>IFERROR(DTE_demand_forecast!S66*Historical_Cost!#REF!,"-")</f>
        <v>-</v>
      </c>
      <c r="T7" s="81" t="str">
        <f>IFERROR(DTE_demand_forecast!T66*Historical_Cost!#REF!,"-")</f>
        <v>-</v>
      </c>
      <c r="U7" s="81" t="str">
        <f>IFERROR(DTE_demand_forecast!U66*Historical_Cost!#REF!,"-")</f>
        <v>-</v>
      </c>
      <c r="V7" s="81" t="str">
        <f>IFERROR(DTE_demand_forecast!V66*Historical_Cost!#REF!,"-")</f>
        <v>-</v>
      </c>
    </row>
    <row r="8" spans="1:22" x14ac:dyDescent="0.3">
      <c r="A8" s="526"/>
      <c r="B8" s="33" t="str">
        <f>DTE_demand_forecast!B67</f>
        <v>Mission Operations</v>
      </c>
      <c r="C8" s="81" t="str">
        <f>IFERROR(DTE_demand_forecast!C67*Historical_Cost!#REF!,"-")</f>
        <v>-</v>
      </c>
      <c r="D8" s="81" t="str">
        <f>IFERROR(DTE_demand_forecast!D67*Historical_Cost!#REF!,"-")</f>
        <v>-</v>
      </c>
      <c r="E8" s="81" t="str">
        <f>IFERROR(DTE_demand_forecast!E67*Historical_Cost!#REF!,"-")</f>
        <v>-</v>
      </c>
      <c r="F8" s="81" t="str">
        <f>IFERROR(DTE_demand_forecast!F67*Historical_Cost!#REF!,"-")</f>
        <v>-</v>
      </c>
      <c r="G8" s="81" t="str">
        <f>IFERROR(DTE_demand_forecast!G67*Historical_Cost!#REF!,"-")</f>
        <v>-</v>
      </c>
      <c r="H8" s="81" t="str">
        <f>IFERROR(DTE_demand_forecast!H67*Historical_Cost!#REF!,"-")</f>
        <v>-</v>
      </c>
      <c r="I8" s="81" t="str">
        <f>IFERROR(DTE_demand_forecast!I67*Historical_Cost!#REF!,"-")</f>
        <v>-</v>
      </c>
      <c r="J8" s="81" t="str">
        <f>IFERROR(DTE_demand_forecast!J67*Historical_Cost!#REF!,"-")</f>
        <v>-</v>
      </c>
      <c r="K8" s="81" t="str">
        <f>IFERROR(DTE_demand_forecast!K67*Historical_Cost!#REF!,"-")</f>
        <v>-</v>
      </c>
      <c r="L8" s="81" t="str">
        <f>IFERROR(DTE_demand_forecast!L67*Historical_Cost!#REF!,"-")</f>
        <v>-</v>
      </c>
      <c r="M8" s="81" t="str">
        <f>IFERROR(DTE_demand_forecast!M67*Historical_Cost!#REF!,"-")</f>
        <v>-</v>
      </c>
      <c r="N8" s="81" t="str">
        <f>IFERROR(DTE_demand_forecast!N67*Historical_Cost!#REF!,"-")</f>
        <v>-</v>
      </c>
      <c r="O8" s="81" t="str">
        <f>IFERROR(DTE_demand_forecast!O67*Historical_Cost!#REF!,"-")</f>
        <v>-</v>
      </c>
      <c r="P8" s="81" t="str">
        <f>IFERROR(DTE_demand_forecast!P67*Historical_Cost!#REF!,"-")</f>
        <v>-</v>
      </c>
      <c r="Q8" s="81" t="str">
        <f>IFERROR(DTE_demand_forecast!Q67*Historical_Cost!#REF!,"-")</f>
        <v>-</v>
      </c>
      <c r="R8" s="81" t="str">
        <f>IFERROR(DTE_demand_forecast!R67*Historical_Cost!#REF!,"-")</f>
        <v>-</v>
      </c>
      <c r="S8" s="81" t="str">
        <f>IFERROR(DTE_demand_forecast!S67*Historical_Cost!#REF!,"-")</f>
        <v>-</v>
      </c>
      <c r="T8" s="81" t="str">
        <f>IFERROR(DTE_demand_forecast!T67*Historical_Cost!#REF!,"-")</f>
        <v>-</v>
      </c>
      <c r="U8" s="81" t="str">
        <f>IFERROR(DTE_demand_forecast!U67*Historical_Cost!#REF!,"-")</f>
        <v>-</v>
      </c>
      <c r="V8" s="81" t="str">
        <f>IFERROR(DTE_demand_forecast!V67*Historical_Cost!#REF!,"-")</f>
        <v>-</v>
      </c>
    </row>
    <row r="9" spans="1:22" x14ac:dyDescent="0.3">
      <c r="A9" s="526"/>
      <c r="B9" s="33" t="str">
        <f>DTE_demand_forecast!B68</f>
        <v>Launch Events</v>
      </c>
      <c r="C9" s="81" t="str">
        <f>IFERROR(DTE_demand_forecast!C68*Historical_Cost!#REF!,"-")</f>
        <v>-</v>
      </c>
      <c r="D9" s="81" t="str">
        <f>IFERROR(DTE_demand_forecast!D68*Historical_Cost!#REF!,"-")</f>
        <v>-</v>
      </c>
      <c r="E9" s="81" t="str">
        <f>IFERROR(DTE_demand_forecast!E68*Historical_Cost!#REF!,"-")</f>
        <v>-</v>
      </c>
      <c r="F9" s="81" t="str">
        <f>IFERROR(DTE_demand_forecast!F68*Historical_Cost!#REF!,"-")</f>
        <v>-</v>
      </c>
      <c r="G9" s="81" t="str">
        <f>IFERROR(DTE_demand_forecast!G68*Historical_Cost!#REF!,"-")</f>
        <v>-</v>
      </c>
      <c r="H9" s="81" t="str">
        <f>IFERROR(DTE_demand_forecast!H68*Historical_Cost!#REF!,"-")</f>
        <v>-</v>
      </c>
      <c r="I9" s="81" t="str">
        <f>IFERROR(DTE_demand_forecast!I68*Historical_Cost!#REF!,"-")</f>
        <v>-</v>
      </c>
      <c r="J9" s="81" t="str">
        <f>IFERROR(DTE_demand_forecast!J68*Historical_Cost!#REF!,"-")</f>
        <v>-</v>
      </c>
      <c r="K9" s="81" t="str">
        <f>IFERROR(DTE_demand_forecast!K68*Historical_Cost!#REF!,"-")</f>
        <v>-</v>
      </c>
      <c r="L9" s="81" t="str">
        <f>IFERROR(DTE_demand_forecast!L68*Historical_Cost!#REF!,"-")</f>
        <v>-</v>
      </c>
      <c r="M9" s="81" t="str">
        <f>IFERROR(DTE_demand_forecast!M68*Historical_Cost!#REF!,"-")</f>
        <v>-</v>
      </c>
      <c r="N9" s="81" t="str">
        <f>IFERROR(DTE_demand_forecast!N68*Historical_Cost!#REF!,"-")</f>
        <v>-</v>
      </c>
      <c r="O9" s="81" t="str">
        <f>IFERROR(DTE_demand_forecast!O68*Historical_Cost!#REF!,"-")</f>
        <v>-</v>
      </c>
      <c r="P9" s="81" t="str">
        <f>IFERROR(DTE_demand_forecast!P68*Historical_Cost!#REF!,"-")</f>
        <v>-</v>
      </c>
      <c r="Q9" s="81" t="str">
        <f>IFERROR(DTE_demand_forecast!Q68*Historical_Cost!#REF!,"-")</f>
        <v>-</v>
      </c>
      <c r="R9" s="81" t="str">
        <f>IFERROR(DTE_demand_forecast!R68*Historical_Cost!#REF!,"-")</f>
        <v>-</v>
      </c>
      <c r="S9" s="81" t="str">
        <f>IFERROR(DTE_demand_forecast!S68*Historical_Cost!#REF!,"-")</f>
        <v>-</v>
      </c>
      <c r="T9" s="81" t="str">
        <f>IFERROR(DTE_demand_forecast!T68*Historical_Cost!#REF!,"-")</f>
        <v>-</v>
      </c>
      <c r="U9" s="81" t="str">
        <f>IFERROR(DTE_demand_forecast!U68*Historical_Cost!#REF!,"-")</f>
        <v>-</v>
      </c>
      <c r="V9" s="81" t="str">
        <f>IFERROR(DTE_demand_forecast!V68*Historical_Cost!#REF!,"-")</f>
        <v>-</v>
      </c>
    </row>
    <row r="10" spans="1:22" x14ac:dyDescent="0.3">
      <c r="A10" s="526"/>
      <c r="B10" s="33" t="str">
        <f>DTE_demand_forecast!B69</f>
        <v>Terrestrial &amp; Aerial</v>
      </c>
      <c r="C10" s="81" t="str">
        <f>IFERROR(DTE_demand_forecast!C69*Historical_Cost!#REF!,"-")</f>
        <v>-</v>
      </c>
      <c r="D10" s="81" t="str">
        <f>IFERROR(DTE_demand_forecast!D69*Historical_Cost!#REF!,"-")</f>
        <v>-</v>
      </c>
      <c r="E10" s="81" t="str">
        <f>IFERROR(DTE_demand_forecast!E69*Historical_Cost!#REF!,"-")</f>
        <v>-</v>
      </c>
      <c r="F10" s="81" t="str">
        <f>IFERROR(DTE_demand_forecast!F69*Historical_Cost!#REF!,"-")</f>
        <v>-</v>
      </c>
      <c r="G10" s="81" t="str">
        <f>IFERROR(DTE_demand_forecast!G69*Historical_Cost!#REF!,"-")</f>
        <v>-</v>
      </c>
      <c r="H10" s="81" t="str">
        <f>IFERROR(DTE_demand_forecast!H69*Historical_Cost!#REF!,"-")</f>
        <v>-</v>
      </c>
      <c r="I10" s="81" t="str">
        <f>IFERROR(DTE_demand_forecast!I69*Historical_Cost!#REF!,"-")</f>
        <v>-</v>
      </c>
      <c r="J10" s="81" t="str">
        <f>IFERROR(DTE_demand_forecast!J69*Historical_Cost!#REF!,"-")</f>
        <v>-</v>
      </c>
      <c r="K10" s="81" t="str">
        <f>IFERROR(DTE_demand_forecast!K69*Historical_Cost!#REF!,"-")</f>
        <v>-</v>
      </c>
      <c r="L10" s="81" t="str">
        <f>IFERROR(DTE_demand_forecast!L69*Historical_Cost!#REF!,"-")</f>
        <v>-</v>
      </c>
      <c r="M10" s="81" t="str">
        <f>IFERROR(DTE_demand_forecast!M69*Historical_Cost!#REF!,"-")</f>
        <v>-</v>
      </c>
      <c r="N10" s="81" t="str">
        <f>IFERROR(DTE_demand_forecast!N69*Historical_Cost!#REF!,"-")</f>
        <v>-</v>
      </c>
      <c r="O10" s="81" t="str">
        <f>IFERROR(DTE_demand_forecast!O69*Historical_Cost!#REF!,"-")</f>
        <v>-</v>
      </c>
      <c r="P10" s="81" t="str">
        <f>IFERROR(DTE_demand_forecast!P69*Historical_Cost!#REF!,"-")</f>
        <v>-</v>
      </c>
      <c r="Q10" s="81" t="str">
        <f>IFERROR(DTE_demand_forecast!Q69*Historical_Cost!#REF!,"-")</f>
        <v>-</v>
      </c>
      <c r="R10" s="81" t="str">
        <f>IFERROR(DTE_demand_forecast!R69*Historical_Cost!#REF!,"-")</f>
        <v>-</v>
      </c>
      <c r="S10" s="81" t="str">
        <f>IFERROR(DTE_demand_forecast!S69*Historical_Cost!#REF!,"-")</f>
        <v>-</v>
      </c>
      <c r="T10" s="81" t="str">
        <f>IFERROR(DTE_demand_forecast!T69*Historical_Cost!#REF!,"-")</f>
        <v>-</v>
      </c>
      <c r="U10" s="81" t="str">
        <f>IFERROR(DTE_demand_forecast!U69*Historical_Cost!#REF!,"-")</f>
        <v>-</v>
      </c>
      <c r="V10" s="81" t="str">
        <f>IFERROR(DTE_demand_forecast!V69*Historical_Cost!#REF!,"-")</f>
        <v>-</v>
      </c>
    </row>
    <row r="11" spans="1:22" x14ac:dyDescent="0.3">
      <c r="A11" s="526"/>
      <c r="B11" s="34" t="s">
        <v>84</v>
      </c>
      <c r="C11" s="128">
        <f t="shared" ref="C11:V11" si="0">SUM(C3:C10)</f>
        <v>0</v>
      </c>
      <c r="D11" s="128">
        <f t="shared" si="0"/>
        <v>0</v>
      </c>
      <c r="E11" s="128">
        <f t="shared" si="0"/>
        <v>0</v>
      </c>
      <c r="F11" s="128">
        <f t="shared" si="0"/>
        <v>0</v>
      </c>
      <c r="G11" s="128">
        <f t="shared" si="0"/>
        <v>0</v>
      </c>
      <c r="H11" s="128">
        <f t="shared" si="0"/>
        <v>0</v>
      </c>
      <c r="I11" s="128">
        <f t="shared" si="0"/>
        <v>0</v>
      </c>
      <c r="J11" s="128">
        <f t="shared" si="0"/>
        <v>0</v>
      </c>
      <c r="K11" s="128">
        <f t="shared" si="0"/>
        <v>0</v>
      </c>
      <c r="L11" s="128">
        <f t="shared" si="0"/>
        <v>0</v>
      </c>
      <c r="M11" s="128">
        <f t="shared" si="0"/>
        <v>0</v>
      </c>
      <c r="N11" s="128">
        <f t="shared" si="0"/>
        <v>0</v>
      </c>
      <c r="O11" s="128">
        <f t="shared" si="0"/>
        <v>0</v>
      </c>
      <c r="P11" s="128">
        <f t="shared" si="0"/>
        <v>0</v>
      </c>
      <c r="Q11" s="128">
        <f t="shared" si="0"/>
        <v>0</v>
      </c>
      <c r="R11" s="128">
        <f t="shared" si="0"/>
        <v>0</v>
      </c>
      <c r="S11" s="128">
        <f t="shared" si="0"/>
        <v>0</v>
      </c>
      <c r="T11" s="128">
        <f t="shared" si="0"/>
        <v>0</v>
      </c>
      <c r="U11" s="128">
        <f t="shared" si="0"/>
        <v>0</v>
      </c>
      <c r="V11" s="128">
        <f t="shared" si="0"/>
        <v>0</v>
      </c>
    </row>
    <row r="12" spans="1:22" x14ac:dyDescent="0.3">
      <c r="A12" s="526"/>
      <c r="B12" s="129"/>
      <c r="C12" s="130"/>
      <c r="D12" s="130"/>
      <c r="E12" s="130"/>
      <c r="F12" s="130"/>
      <c r="G12" s="130"/>
      <c r="H12" s="130"/>
      <c r="I12" s="130"/>
      <c r="J12" s="130"/>
      <c r="K12" s="130"/>
      <c r="L12" s="130"/>
      <c r="M12" s="130"/>
      <c r="N12" s="130"/>
      <c r="O12" s="130"/>
      <c r="P12" s="130"/>
      <c r="Q12" s="130"/>
      <c r="R12" s="130"/>
      <c r="S12" s="130"/>
      <c r="T12" s="130"/>
      <c r="U12" s="130"/>
      <c r="V12" s="130"/>
    </row>
    <row r="13" spans="1:22" x14ac:dyDescent="0.3">
      <c r="A13" s="526"/>
      <c r="B13" s="129"/>
      <c r="C13" s="130"/>
      <c r="D13" s="130"/>
      <c r="E13" s="130"/>
      <c r="F13" s="130"/>
      <c r="G13" s="130"/>
      <c r="H13" s="130"/>
      <c r="I13" s="130"/>
      <c r="J13" s="130"/>
      <c r="K13" s="130"/>
      <c r="L13" s="130"/>
      <c r="M13" s="130"/>
      <c r="N13" s="130"/>
      <c r="O13" s="130"/>
      <c r="P13" s="130"/>
      <c r="Q13" s="130"/>
      <c r="R13" s="130"/>
      <c r="S13" s="130"/>
      <c r="T13" s="130"/>
      <c r="U13" s="130"/>
      <c r="V13" s="130"/>
    </row>
    <row r="14" spans="1:22" x14ac:dyDescent="0.3">
      <c r="A14" s="526"/>
      <c r="B14" s="129"/>
      <c r="C14" s="130"/>
      <c r="D14" s="130"/>
      <c r="E14" s="130"/>
      <c r="F14" s="130"/>
      <c r="G14" s="130"/>
      <c r="H14" s="130"/>
      <c r="I14" s="130"/>
      <c r="J14" s="130"/>
      <c r="K14" s="130"/>
      <c r="L14" s="130"/>
      <c r="M14" s="130"/>
      <c r="N14" s="130"/>
      <c r="O14" s="130"/>
      <c r="P14" s="130"/>
      <c r="Q14" s="130"/>
      <c r="R14" s="130"/>
      <c r="S14" s="130"/>
      <c r="T14" s="130"/>
      <c r="U14" s="130"/>
      <c r="V14" s="130"/>
    </row>
    <row r="15" spans="1:22" x14ac:dyDescent="0.3">
      <c r="A15" s="526"/>
      <c r="B15" s="129"/>
      <c r="C15" s="130"/>
      <c r="D15" s="130"/>
      <c r="E15" s="130"/>
      <c r="F15" s="130"/>
      <c r="G15" s="130"/>
      <c r="H15" s="130"/>
      <c r="I15" s="130"/>
      <c r="J15" s="130"/>
      <c r="K15" s="130"/>
      <c r="L15" s="130"/>
      <c r="M15" s="130"/>
      <c r="N15" s="130"/>
      <c r="O15" s="130"/>
      <c r="P15" s="130"/>
      <c r="Q15" s="130"/>
      <c r="R15" s="130"/>
      <c r="S15" s="130"/>
      <c r="T15" s="130"/>
      <c r="U15" s="130"/>
      <c r="V15" s="130"/>
    </row>
    <row r="16" spans="1:22" x14ac:dyDescent="0.3">
      <c r="A16" s="526"/>
      <c r="B16" s="129"/>
      <c r="C16" s="130"/>
      <c r="D16" s="130"/>
      <c r="E16" s="130"/>
      <c r="F16" s="130"/>
      <c r="G16" s="130"/>
      <c r="H16" s="130"/>
      <c r="I16" s="130"/>
      <c r="J16" s="130"/>
      <c r="K16" s="130"/>
      <c r="L16" s="130"/>
      <c r="M16" s="130"/>
      <c r="N16" s="130"/>
      <c r="O16" s="130"/>
      <c r="P16" s="130"/>
      <c r="Q16" s="130"/>
      <c r="R16" s="130"/>
      <c r="S16" s="130"/>
      <c r="T16" s="130"/>
      <c r="U16" s="130"/>
      <c r="V16" s="130"/>
    </row>
    <row r="17" spans="1:22" x14ac:dyDescent="0.3">
      <c r="A17" s="526"/>
    </row>
    <row r="18" spans="1:22" x14ac:dyDescent="0.3">
      <c r="A18" s="526"/>
    </row>
    <row r="19" spans="1:22" x14ac:dyDescent="0.3">
      <c r="A19" s="526"/>
      <c r="B19" s="35" t="s">
        <v>163</v>
      </c>
      <c r="L19" s="20"/>
      <c r="M19" s="20"/>
    </row>
    <row r="20" spans="1:22" x14ac:dyDescent="0.3">
      <c r="A20" s="526"/>
      <c r="B20" s="78" t="s">
        <v>82</v>
      </c>
      <c r="C20" s="78">
        <v>2021</v>
      </c>
      <c r="D20" s="79">
        <v>2022</v>
      </c>
      <c r="E20" s="78">
        <v>2023</v>
      </c>
      <c r="F20" s="79">
        <v>2024</v>
      </c>
      <c r="G20" s="78">
        <v>2025</v>
      </c>
      <c r="H20" s="79">
        <v>2026</v>
      </c>
      <c r="I20" s="78">
        <v>2027</v>
      </c>
      <c r="J20" s="79">
        <v>2028</v>
      </c>
      <c r="K20" s="78">
        <v>2029</v>
      </c>
      <c r="L20" s="79">
        <v>2030</v>
      </c>
      <c r="M20" s="78">
        <v>2031</v>
      </c>
      <c r="N20" s="79">
        <v>2032</v>
      </c>
      <c r="O20" s="78">
        <v>2033</v>
      </c>
      <c r="P20" s="79">
        <v>2034</v>
      </c>
      <c r="Q20" s="78">
        <v>2035</v>
      </c>
      <c r="R20" s="79">
        <v>2036</v>
      </c>
      <c r="S20" s="78">
        <v>2037</v>
      </c>
      <c r="T20" s="79">
        <v>2038</v>
      </c>
      <c r="U20" s="78">
        <v>2039</v>
      </c>
      <c r="V20" s="79">
        <v>2040</v>
      </c>
    </row>
    <row r="21" spans="1:22" x14ac:dyDescent="0.3">
      <c r="A21" s="526"/>
      <c r="B21" s="33" t="s">
        <v>43</v>
      </c>
      <c r="C21" s="81" t="str">
        <f>IFERROR(DTE_demand_forecast!C141*Historical_Cost!#REF!,"-")</f>
        <v>-</v>
      </c>
      <c r="D21" s="81" t="str">
        <f>IFERROR(DTE_demand_forecast!D141*Historical_Cost!#REF!,"-")</f>
        <v>-</v>
      </c>
      <c r="E21" s="81" t="str">
        <f>IFERROR(DTE_demand_forecast!E141*Historical_Cost!#REF!,"-")</f>
        <v>-</v>
      </c>
      <c r="F21" s="81" t="str">
        <f>IFERROR(DTE_demand_forecast!F141*Historical_Cost!#REF!,"-")</f>
        <v>-</v>
      </c>
      <c r="G21" s="81" t="str">
        <f>IFERROR(DTE_demand_forecast!G141*Historical_Cost!#REF!,"-")</f>
        <v>-</v>
      </c>
      <c r="H21" s="81" t="str">
        <f>IFERROR(DTE_demand_forecast!H141*Historical_Cost!#REF!,"-")</f>
        <v>-</v>
      </c>
      <c r="I21" s="81" t="str">
        <f>IFERROR(DTE_demand_forecast!I141*Historical_Cost!#REF!,"-")</f>
        <v>-</v>
      </c>
      <c r="J21" s="81" t="str">
        <f>IFERROR(DTE_demand_forecast!J141*Historical_Cost!#REF!,"-")</f>
        <v>-</v>
      </c>
      <c r="K21" s="81" t="str">
        <f>IFERROR(DTE_demand_forecast!K141*Historical_Cost!#REF!,"-")</f>
        <v>-</v>
      </c>
      <c r="L21" s="81" t="str">
        <f>IFERROR(DTE_demand_forecast!L141*Historical_Cost!#REF!,"-")</f>
        <v>-</v>
      </c>
      <c r="M21" s="81" t="str">
        <f>IFERROR(DTE_demand_forecast!M141*Historical_Cost!#REF!,"-")</f>
        <v>-</v>
      </c>
      <c r="N21" s="81" t="str">
        <f>IFERROR(DTE_demand_forecast!N141*Historical_Cost!#REF!,"-")</f>
        <v>-</v>
      </c>
      <c r="O21" s="81" t="str">
        <f>IFERROR(DTE_demand_forecast!O141*Historical_Cost!#REF!,"-")</f>
        <v>-</v>
      </c>
      <c r="P21" s="81" t="str">
        <f>IFERROR(DTE_demand_forecast!P141*Historical_Cost!#REF!,"-")</f>
        <v>-</v>
      </c>
      <c r="Q21" s="81" t="str">
        <f>IFERROR(DTE_demand_forecast!Q141*Historical_Cost!#REF!,"-")</f>
        <v>-</v>
      </c>
      <c r="R21" s="81" t="str">
        <f>IFERROR(DTE_demand_forecast!R141*Historical_Cost!#REF!,"-")</f>
        <v>-</v>
      </c>
      <c r="S21" s="81" t="str">
        <f>IFERROR(DTE_demand_forecast!S141*Historical_Cost!#REF!,"-")</f>
        <v>-</v>
      </c>
      <c r="T21" s="81" t="str">
        <f>IFERROR(DTE_demand_forecast!T141*Historical_Cost!#REF!,"-")</f>
        <v>-</v>
      </c>
      <c r="U21" s="81" t="str">
        <f>IFERROR(DTE_demand_forecast!U141*Historical_Cost!#REF!,"-")</f>
        <v>-</v>
      </c>
      <c r="V21" s="81" t="str">
        <f>IFERROR(DTE_demand_forecast!V141*Historical_Cost!#REF!,"-")</f>
        <v>-</v>
      </c>
    </row>
    <row r="22" spans="1:22" x14ac:dyDescent="0.3">
      <c r="A22" s="526"/>
      <c r="B22" s="33" t="s">
        <v>41</v>
      </c>
      <c r="C22" s="81" t="str">
        <f>IFERROR(DTE_demand_forecast!C142*Historical_Cost!#REF!,"-")</f>
        <v>-</v>
      </c>
      <c r="D22" s="81" t="str">
        <f>IFERROR(DTE_demand_forecast!D142*Historical_Cost!#REF!,"-")</f>
        <v>-</v>
      </c>
      <c r="E22" s="81" t="str">
        <f>IFERROR(DTE_demand_forecast!E142*Historical_Cost!#REF!,"-")</f>
        <v>-</v>
      </c>
      <c r="F22" s="81" t="str">
        <f>IFERROR(DTE_demand_forecast!F142*Historical_Cost!#REF!,"-")</f>
        <v>-</v>
      </c>
      <c r="G22" s="81" t="str">
        <f>IFERROR(DTE_demand_forecast!G142*Historical_Cost!#REF!,"-")</f>
        <v>-</v>
      </c>
      <c r="H22" s="81" t="str">
        <f>IFERROR(DTE_demand_forecast!H142*Historical_Cost!#REF!,"-")</f>
        <v>-</v>
      </c>
      <c r="I22" s="81" t="str">
        <f>IFERROR(DTE_demand_forecast!I142*Historical_Cost!#REF!,"-")</f>
        <v>-</v>
      </c>
      <c r="J22" s="81" t="str">
        <f>IFERROR(DTE_demand_forecast!J142*Historical_Cost!#REF!,"-")</f>
        <v>-</v>
      </c>
      <c r="K22" s="81" t="str">
        <f>IFERROR(DTE_demand_forecast!K142*Historical_Cost!#REF!,"-")</f>
        <v>-</v>
      </c>
      <c r="L22" s="81" t="str">
        <f>IFERROR(DTE_demand_forecast!L142*Historical_Cost!#REF!,"-")</f>
        <v>-</v>
      </c>
      <c r="M22" s="81" t="str">
        <f>IFERROR(DTE_demand_forecast!M142*Historical_Cost!#REF!,"-")</f>
        <v>-</v>
      </c>
      <c r="N22" s="81" t="str">
        <f>IFERROR(DTE_demand_forecast!N142*Historical_Cost!#REF!,"-")</f>
        <v>-</v>
      </c>
      <c r="O22" s="81" t="str">
        <f>IFERROR(DTE_demand_forecast!O142*Historical_Cost!#REF!,"-")</f>
        <v>-</v>
      </c>
      <c r="P22" s="81" t="str">
        <f>IFERROR(DTE_demand_forecast!P142*Historical_Cost!#REF!,"-")</f>
        <v>-</v>
      </c>
      <c r="Q22" s="81" t="str">
        <f>IFERROR(DTE_demand_forecast!Q142*Historical_Cost!#REF!,"-")</f>
        <v>-</v>
      </c>
      <c r="R22" s="81" t="str">
        <f>IFERROR(DTE_demand_forecast!R142*Historical_Cost!#REF!,"-")</f>
        <v>-</v>
      </c>
      <c r="S22" s="81" t="str">
        <f>IFERROR(DTE_demand_forecast!S142*Historical_Cost!#REF!,"-")</f>
        <v>-</v>
      </c>
      <c r="T22" s="81" t="str">
        <f>IFERROR(DTE_demand_forecast!T142*Historical_Cost!#REF!,"-")</f>
        <v>-</v>
      </c>
      <c r="U22" s="81" t="str">
        <f>IFERROR(DTE_demand_forecast!U142*Historical_Cost!#REF!,"-")</f>
        <v>-</v>
      </c>
      <c r="V22" s="81" t="str">
        <f>IFERROR(DTE_demand_forecast!V142*Historical_Cost!#REF!,"-")</f>
        <v>-</v>
      </c>
    </row>
    <row r="23" spans="1:22" x14ac:dyDescent="0.3">
      <c r="A23" s="526"/>
      <c r="B23" s="33" t="s">
        <v>40</v>
      </c>
      <c r="C23" s="81" t="str">
        <f>IFERROR(DTE_demand_forecast!C143*Historical_Cost!#REF!,"-")</f>
        <v>-</v>
      </c>
      <c r="D23" s="81" t="str">
        <f>IFERROR(DTE_demand_forecast!D143*Historical_Cost!#REF!,"-")</f>
        <v>-</v>
      </c>
      <c r="E23" s="81" t="str">
        <f>IFERROR(DTE_demand_forecast!E143*Historical_Cost!#REF!,"-")</f>
        <v>-</v>
      </c>
      <c r="F23" s="81" t="str">
        <f>IFERROR(DTE_demand_forecast!F143*Historical_Cost!#REF!,"-")</f>
        <v>-</v>
      </c>
      <c r="G23" s="81" t="str">
        <f>IFERROR(DTE_demand_forecast!G143*Historical_Cost!#REF!,"-")</f>
        <v>-</v>
      </c>
      <c r="H23" s="81" t="str">
        <f>IFERROR(DTE_demand_forecast!H143*Historical_Cost!#REF!,"-")</f>
        <v>-</v>
      </c>
      <c r="I23" s="81" t="str">
        <f>IFERROR(DTE_demand_forecast!I143*Historical_Cost!#REF!,"-")</f>
        <v>-</v>
      </c>
      <c r="J23" s="81" t="str">
        <f>IFERROR(DTE_demand_forecast!J143*Historical_Cost!#REF!,"-")</f>
        <v>-</v>
      </c>
      <c r="K23" s="81" t="str">
        <f>IFERROR(DTE_demand_forecast!K143*Historical_Cost!#REF!,"-")</f>
        <v>-</v>
      </c>
      <c r="L23" s="81" t="str">
        <f>IFERROR(DTE_demand_forecast!L143*Historical_Cost!#REF!,"-")</f>
        <v>-</v>
      </c>
      <c r="M23" s="81" t="str">
        <f>IFERROR(DTE_demand_forecast!M143*Historical_Cost!#REF!,"-")</f>
        <v>-</v>
      </c>
      <c r="N23" s="81" t="str">
        <f>IFERROR(DTE_demand_forecast!N143*Historical_Cost!#REF!,"-")</f>
        <v>-</v>
      </c>
      <c r="O23" s="81" t="str">
        <f>IFERROR(DTE_demand_forecast!O143*Historical_Cost!#REF!,"-")</f>
        <v>-</v>
      </c>
      <c r="P23" s="81" t="str">
        <f>IFERROR(DTE_demand_forecast!P143*Historical_Cost!#REF!,"-")</f>
        <v>-</v>
      </c>
      <c r="Q23" s="81" t="str">
        <f>IFERROR(DTE_demand_forecast!Q143*Historical_Cost!#REF!,"-")</f>
        <v>-</v>
      </c>
      <c r="R23" s="81" t="str">
        <f>IFERROR(DTE_demand_forecast!R143*Historical_Cost!#REF!,"-")</f>
        <v>-</v>
      </c>
      <c r="S23" s="81" t="str">
        <f>IFERROR(DTE_demand_forecast!S143*Historical_Cost!#REF!,"-")</f>
        <v>-</v>
      </c>
      <c r="T23" s="81" t="str">
        <f>IFERROR(DTE_demand_forecast!T143*Historical_Cost!#REF!,"-")</f>
        <v>-</v>
      </c>
      <c r="U23" s="81" t="str">
        <f>IFERROR(DTE_demand_forecast!U143*Historical_Cost!#REF!,"-")</f>
        <v>-</v>
      </c>
      <c r="V23" s="81" t="str">
        <f>IFERROR(DTE_demand_forecast!V143*Historical_Cost!#REF!,"-")</f>
        <v>-</v>
      </c>
    </row>
    <row r="24" spans="1:22" x14ac:dyDescent="0.3">
      <c r="A24" s="526"/>
      <c r="B24" s="33" t="s">
        <v>80</v>
      </c>
      <c r="C24" s="81" t="str">
        <f>IFERROR(DTE_demand_forecast!C144*Historical_Cost!#REF!,"-")</f>
        <v>-</v>
      </c>
      <c r="D24" s="81" t="str">
        <f>IFERROR(DTE_demand_forecast!D144*Historical_Cost!#REF!,"-")</f>
        <v>-</v>
      </c>
      <c r="E24" s="81" t="str">
        <f>IFERROR(DTE_demand_forecast!E144*Historical_Cost!#REF!,"-")</f>
        <v>-</v>
      </c>
      <c r="F24" s="81" t="str">
        <f>IFERROR(DTE_demand_forecast!F144*Historical_Cost!#REF!,"-")</f>
        <v>-</v>
      </c>
      <c r="G24" s="81" t="str">
        <f>IFERROR(DTE_demand_forecast!G144*Historical_Cost!#REF!,"-")</f>
        <v>-</v>
      </c>
      <c r="H24" s="81" t="str">
        <f>IFERROR(DTE_demand_forecast!H144*Historical_Cost!#REF!,"-")</f>
        <v>-</v>
      </c>
      <c r="I24" s="81" t="str">
        <f>IFERROR(DTE_demand_forecast!I144*Historical_Cost!#REF!,"-")</f>
        <v>-</v>
      </c>
      <c r="J24" s="81" t="str">
        <f>IFERROR(DTE_demand_forecast!J144*Historical_Cost!#REF!,"-")</f>
        <v>-</v>
      </c>
      <c r="K24" s="81" t="str">
        <f>IFERROR(DTE_demand_forecast!K144*Historical_Cost!#REF!,"-")</f>
        <v>-</v>
      </c>
      <c r="L24" s="81" t="str">
        <f>IFERROR(DTE_demand_forecast!L144*Historical_Cost!#REF!,"-")</f>
        <v>-</v>
      </c>
      <c r="M24" s="81" t="str">
        <f>IFERROR(DTE_demand_forecast!M144*Historical_Cost!#REF!,"-")</f>
        <v>-</v>
      </c>
      <c r="N24" s="81" t="str">
        <f>IFERROR(DTE_demand_forecast!N144*Historical_Cost!#REF!,"-")</f>
        <v>-</v>
      </c>
      <c r="O24" s="81" t="str">
        <f>IFERROR(DTE_demand_forecast!O144*Historical_Cost!#REF!,"-")</f>
        <v>-</v>
      </c>
      <c r="P24" s="81" t="str">
        <f>IFERROR(DTE_demand_forecast!P144*Historical_Cost!#REF!,"-")</f>
        <v>-</v>
      </c>
      <c r="Q24" s="81" t="str">
        <f>IFERROR(DTE_demand_forecast!Q144*Historical_Cost!#REF!,"-")</f>
        <v>-</v>
      </c>
      <c r="R24" s="81" t="str">
        <f>IFERROR(DTE_demand_forecast!R144*Historical_Cost!#REF!,"-")</f>
        <v>-</v>
      </c>
      <c r="S24" s="81" t="str">
        <f>IFERROR(DTE_demand_forecast!S144*Historical_Cost!#REF!,"-")</f>
        <v>-</v>
      </c>
      <c r="T24" s="81" t="str">
        <f>IFERROR(DTE_demand_forecast!T144*Historical_Cost!#REF!,"-")</f>
        <v>-</v>
      </c>
      <c r="U24" s="81" t="str">
        <f>IFERROR(DTE_demand_forecast!U144*Historical_Cost!#REF!,"-")</f>
        <v>-</v>
      </c>
      <c r="V24" s="81" t="str">
        <f>IFERROR(DTE_demand_forecast!V144*Historical_Cost!#REF!,"-")</f>
        <v>-</v>
      </c>
    </row>
    <row r="25" spans="1:22" x14ac:dyDescent="0.3">
      <c r="A25" s="526"/>
      <c r="B25" s="33" t="s">
        <v>44</v>
      </c>
      <c r="C25" s="81" t="str">
        <f>IFERROR(DTE_demand_forecast!C145*Historical_Cost!#REF!,"-")</f>
        <v>-</v>
      </c>
      <c r="D25" s="81" t="str">
        <f>IFERROR(DTE_demand_forecast!D145*Historical_Cost!#REF!,"-")</f>
        <v>-</v>
      </c>
      <c r="E25" s="81" t="str">
        <f>IFERROR(DTE_demand_forecast!E145*Historical_Cost!#REF!,"-")</f>
        <v>-</v>
      </c>
      <c r="F25" s="81" t="str">
        <f>IFERROR(DTE_demand_forecast!F145*Historical_Cost!#REF!,"-")</f>
        <v>-</v>
      </c>
      <c r="G25" s="81" t="str">
        <f>IFERROR(DTE_demand_forecast!G145*Historical_Cost!#REF!,"-")</f>
        <v>-</v>
      </c>
      <c r="H25" s="81" t="str">
        <f>IFERROR(DTE_demand_forecast!H145*Historical_Cost!#REF!,"-")</f>
        <v>-</v>
      </c>
      <c r="I25" s="81" t="str">
        <f>IFERROR(DTE_demand_forecast!I145*Historical_Cost!#REF!,"-")</f>
        <v>-</v>
      </c>
      <c r="J25" s="81" t="str">
        <f>IFERROR(DTE_demand_forecast!J145*Historical_Cost!#REF!,"-")</f>
        <v>-</v>
      </c>
      <c r="K25" s="81" t="str">
        <f>IFERROR(DTE_demand_forecast!K145*Historical_Cost!#REF!,"-")</f>
        <v>-</v>
      </c>
      <c r="L25" s="81" t="str">
        <f>IFERROR(DTE_demand_forecast!L145*Historical_Cost!#REF!,"-")</f>
        <v>-</v>
      </c>
      <c r="M25" s="81" t="str">
        <f>IFERROR(DTE_demand_forecast!M145*Historical_Cost!#REF!,"-")</f>
        <v>-</v>
      </c>
      <c r="N25" s="81" t="str">
        <f>IFERROR(DTE_demand_forecast!N145*Historical_Cost!#REF!,"-")</f>
        <v>-</v>
      </c>
      <c r="O25" s="81" t="str">
        <f>IFERROR(DTE_demand_forecast!O145*Historical_Cost!#REF!,"-")</f>
        <v>-</v>
      </c>
      <c r="P25" s="81" t="str">
        <f>IFERROR(DTE_demand_forecast!P145*Historical_Cost!#REF!,"-")</f>
        <v>-</v>
      </c>
      <c r="Q25" s="81" t="str">
        <f>IFERROR(DTE_demand_forecast!Q145*Historical_Cost!#REF!,"-")</f>
        <v>-</v>
      </c>
      <c r="R25" s="81" t="str">
        <f>IFERROR(DTE_demand_forecast!R145*Historical_Cost!#REF!,"-")</f>
        <v>-</v>
      </c>
      <c r="S25" s="81" t="str">
        <f>IFERROR(DTE_demand_forecast!S145*Historical_Cost!#REF!,"-")</f>
        <v>-</v>
      </c>
      <c r="T25" s="81" t="str">
        <f>IFERROR(DTE_demand_forecast!T145*Historical_Cost!#REF!,"-")</f>
        <v>-</v>
      </c>
      <c r="U25" s="81" t="str">
        <f>IFERROR(DTE_demand_forecast!U145*Historical_Cost!#REF!,"-")</f>
        <v>-</v>
      </c>
      <c r="V25" s="81" t="str">
        <f>IFERROR(DTE_demand_forecast!V145*Historical_Cost!#REF!,"-")</f>
        <v>-</v>
      </c>
    </row>
    <row r="26" spans="1:22" x14ac:dyDescent="0.3">
      <c r="A26" s="526"/>
      <c r="B26" s="33" t="s">
        <v>81</v>
      </c>
      <c r="C26" s="81" t="str">
        <f>IFERROR(DTE_demand_forecast!C146*Historical_Cost!#REF!,"-")</f>
        <v>-</v>
      </c>
      <c r="D26" s="81" t="str">
        <f>IFERROR(DTE_demand_forecast!D146*Historical_Cost!#REF!,"-")</f>
        <v>-</v>
      </c>
      <c r="E26" s="81" t="str">
        <f>IFERROR(DTE_demand_forecast!E146*Historical_Cost!#REF!,"-")</f>
        <v>-</v>
      </c>
      <c r="F26" s="81" t="str">
        <f>IFERROR(DTE_demand_forecast!F146*Historical_Cost!#REF!,"-")</f>
        <v>-</v>
      </c>
      <c r="G26" s="81" t="str">
        <f>IFERROR(DTE_demand_forecast!G146*Historical_Cost!#REF!,"-")</f>
        <v>-</v>
      </c>
      <c r="H26" s="81" t="str">
        <f>IFERROR(DTE_demand_forecast!H146*Historical_Cost!#REF!,"-")</f>
        <v>-</v>
      </c>
      <c r="I26" s="81" t="str">
        <f>IFERROR(DTE_demand_forecast!I146*Historical_Cost!#REF!,"-")</f>
        <v>-</v>
      </c>
      <c r="J26" s="81" t="str">
        <f>IFERROR(DTE_demand_forecast!J146*Historical_Cost!#REF!,"-")</f>
        <v>-</v>
      </c>
      <c r="K26" s="81" t="str">
        <f>IFERROR(DTE_demand_forecast!K146*Historical_Cost!#REF!,"-")</f>
        <v>-</v>
      </c>
      <c r="L26" s="81" t="str">
        <f>IFERROR(DTE_demand_forecast!L146*Historical_Cost!#REF!,"-")</f>
        <v>-</v>
      </c>
      <c r="M26" s="81" t="str">
        <f>IFERROR(DTE_demand_forecast!M146*Historical_Cost!#REF!,"-")</f>
        <v>-</v>
      </c>
      <c r="N26" s="81" t="str">
        <f>IFERROR(DTE_demand_forecast!N146*Historical_Cost!#REF!,"-")</f>
        <v>-</v>
      </c>
      <c r="O26" s="81" t="str">
        <f>IFERROR(DTE_demand_forecast!O146*Historical_Cost!#REF!,"-")</f>
        <v>-</v>
      </c>
      <c r="P26" s="81" t="str">
        <f>IFERROR(DTE_demand_forecast!P146*Historical_Cost!#REF!,"-")</f>
        <v>-</v>
      </c>
      <c r="Q26" s="81" t="str">
        <f>IFERROR(DTE_demand_forecast!Q146*Historical_Cost!#REF!,"-")</f>
        <v>-</v>
      </c>
      <c r="R26" s="81" t="str">
        <f>IFERROR(DTE_demand_forecast!R146*Historical_Cost!#REF!,"-")</f>
        <v>-</v>
      </c>
      <c r="S26" s="81" t="str">
        <f>IFERROR(DTE_demand_forecast!S146*Historical_Cost!#REF!,"-")</f>
        <v>-</v>
      </c>
      <c r="T26" s="81" t="str">
        <f>IFERROR(DTE_demand_forecast!T146*Historical_Cost!#REF!,"-")</f>
        <v>-</v>
      </c>
      <c r="U26" s="81" t="str">
        <f>IFERROR(DTE_demand_forecast!U146*Historical_Cost!#REF!,"-")</f>
        <v>-</v>
      </c>
      <c r="V26" s="81" t="str">
        <f>IFERROR(DTE_demand_forecast!V146*Historical_Cost!#REF!,"-")</f>
        <v>-</v>
      </c>
    </row>
    <row r="27" spans="1:22" x14ac:dyDescent="0.3">
      <c r="A27" s="526"/>
      <c r="B27" s="33" t="s">
        <v>42</v>
      </c>
      <c r="C27" s="81" t="str">
        <f>IFERROR(DTE_demand_forecast!C147*Historical_Cost!#REF!,"-")</f>
        <v>-</v>
      </c>
      <c r="D27" s="81" t="str">
        <f>IFERROR(DTE_demand_forecast!D147*Historical_Cost!#REF!,"-")</f>
        <v>-</v>
      </c>
      <c r="E27" s="81" t="str">
        <f>IFERROR(DTE_demand_forecast!E147*Historical_Cost!#REF!,"-")</f>
        <v>-</v>
      </c>
      <c r="F27" s="81" t="str">
        <f>IFERROR(DTE_demand_forecast!F147*Historical_Cost!#REF!,"-")</f>
        <v>-</v>
      </c>
      <c r="G27" s="81" t="str">
        <f>IFERROR(DTE_demand_forecast!G147*Historical_Cost!#REF!,"-")</f>
        <v>-</v>
      </c>
      <c r="H27" s="81" t="str">
        <f>IFERROR(DTE_demand_forecast!H147*Historical_Cost!#REF!,"-")</f>
        <v>-</v>
      </c>
      <c r="I27" s="81" t="str">
        <f>IFERROR(DTE_demand_forecast!I147*Historical_Cost!#REF!,"-")</f>
        <v>-</v>
      </c>
      <c r="J27" s="81" t="str">
        <f>IFERROR(DTE_demand_forecast!J147*Historical_Cost!#REF!,"-")</f>
        <v>-</v>
      </c>
      <c r="K27" s="81" t="str">
        <f>IFERROR(DTE_demand_forecast!K147*Historical_Cost!#REF!,"-")</f>
        <v>-</v>
      </c>
      <c r="L27" s="81" t="str">
        <f>IFERROR(DTE_demand_forecast!L147*Historical_Cost!#REF!,"-")</f>
        <v>-</v>
      </c>
      <c r="M27" s="81" t="str">
        <f>IFERROR(DTE_demand_forecast!M147*Historical_Cost!#REF!,"-")</f>
        <v>-</v>
      </c>
      <c r="N27" s="81" t="str">
        <f>IFERROR(DTE_demand_forecast!N147*Historical_Cost!#REF!,"-")</f>
        <v>-</v>
      </c>
      <c r="O27" s="81" t="str">
        <f>IFERROR(DTE_demand_forecast!O147*Historical_Cost!#REF!,"-")</f>
        <v>-</v>
      </c>
      <c r="P27" s="81" t="str">
        <f>IFERROR(DTE_demand_forecast!P147*Historical_Cost!#REF!,"-")</f>
        <v>-</v>
      </c>
      <c r="Q27" s="81" t="str">
        <f>IFERROR(DTE_demand_forecast!Q147*Historical_Cost!#REF!,"-")</f>
        <v>-</v>
      </c>
      <c r="R27" s="81" t="str">
        <f>IFERROR(DTE_demand_forecast!R147*Historical_Cost!#REF!,"-")</f>
        <v>-</v>
      </c>
      <c r="S27" s="81" t="str">
        <f>IFERROR(DTE_demand_forecast!S147*Historical_Cost!#REF!,"-")</f>
        <v>-</v>
      </c>
      <c r="T27" s="81" t="str">
        <f>IFERROR(DTE_demand_forecast!T147*Historical_Cost!#REF!,"-")</f>
        <v>-</v>
      </c>
      <c r="U27" s="81" t="str">
        <f>IFERROR(DTE_demand_forecast!U147*Historical_Cost!#REF!,"-")</f>
        <v>-</v>
      </c>
      <c r="V27" s="81" t="str">
        <f>IFERROR(DTE_demand_forecast!V147*Historical_Cost!#REF!,"-")</f>
        <v>-</v>
      </c>
    </row>
    <row r="28" spans="1:22" x14ac:dyDescent="0.3">
      <c r="A28" s="526"/>
      <c r="B28" s="33" t="s">
        <v>45</v>
      </c>
      <c r="C28" s="81" t="str">
        <f>IFERROR(DTE_demand_forecast!C148*Historical_Cost!#REF!,"-")</f>
        <v>-</v>
      </c>
      <c r="D28" s="81" t="str">
        <f>IFERROR(DTE_demand_forecast!D148*Historical_Cost!#REF!,"-")</f>
        <v>-</v>
      </c>
      <c r="E28" s="81" t="str">
        <f>IFERROR(DTE_demand_forecast!E148*Historical_Cost!#REF!,"-")</f>
        <v>-</v>
      </c>
      <c r="F28" s="81" t="str">
        <f>IFERROR(DTE_demand_forecast!F148*Historical_Cost!#REF!,"-")</f>
        <v>-</v>
      </c>
      <c r="G28" s="81" t="str">
        <f>IFERROR(DTE_demand_forecast!G148*Historical_Cost!#REF!,"-")</f>
        <v>-</v>
      </c>
      <c r="H28" s="81" t="str">
        <f>IFERROR(DTE_demand_forecast!H148*Historical_Cost!#REF!,"-")</f>
        <v>-</v>
      </c>
      <c r="I28" s="81" t="str">
        <f>IFERROR(DTE_demand_forecast!I148*Historical_Cost!#REF!,"-")</f>
        <v>-</v>
      </c>
      <c r="J28" s="81" t="str">
        <f>IFERROR(DTE_demand_forecast!J148*Historical_Cost!#REF!,"-")</f>
        <v>-</v>
      </c>
      <c r="K28" s="81" t="str">
        <f>IFERROR(DTE_demand_forecast!K148*Historical_Cost!#REF!,"-")</f>
        <v>-</v>
      </c>
      <c r="L28" s="81" t="str">
        <f>IFERROR(DTE_demand_forecast!L148*Historical_Cost!#REF!,"-")</f>
        <v>-</v>
      </c>
      <c r="M28" s="81" t="str">
        <f>IFERROR(DTE_demand_forecast!M148*Historical_Cost!#REF!,"-")</f>
        <v>-</v>
      </c>
      <c r="N28" s="81" t="str">
        <f>IFERROR(DTE_demand_forecast!N148*Historical_Cost!#REF!,"-")</f>
        <v>-</v>
      </c>
      <c r="O28" s="81" t="str">
        <f>IFERROR(DTE_demand_forecast!O148*Historical_Cost!#REF!,"-")</f>
        <v>-</v>
      </c>
      <c r="P28" s="81" t="str">
        <f>IFERROR(DTE_demand_forecast!P148*Historical_Cost!#REF!,"-")</f>
        <v>-</v>
      </c>
      <c r="Q28" s="81" t="str">
        <f>IFERROR(DTE_demand_forecast!Q148*Historical_Cost!#REF!,"-")</f>
        <v>-</v>
      </c>
      <c r="R28" s="81" t="str">
        <f>IFERROR(DTE_demand_forecast!R148*Historical_Cost!#REF!,"-")</f>
        <v>-</v>
      </c>
      <c r="S28" s="81" t="str">
        <f>IFERROR(DTE_demand_forecast!S148*Historical_Cost!#REF!,"-")</f>
        <v>-</v>
      </c>
      <c r="T28" s="81" t="str">
        <f>IFERROR(DTE_demand_forecast!T148*Historical_Cost!#REF!,"-")</f>
        <v>-</v>
      </c>
      <c r="U28" s="81" t="str">
        <f>IFERROR(DTE_demand_forecast!U148*Historical_Cost!#REF!,"-")</f>
        <v>-</v>
      </c>
      <c r="V28" s="81" t="str">
        <f>IFERROR(DTE_demand_forecast!V148*Historical_Cost!#REF!,"-")</f>
        <v>-</v>
      </c>
    </row>
    <row r="29" spans="1:22" x14ac:dyDescent="0.3">
      <c r="A29" s="526"/>
      <c r="B29" s="33" t="s">
        <v>84</v>
      </c>
      <c r="C29" s="128">
        <f t="shared" ref="C29:V29" si="1">SUM(C21:C28)</f>
        <v>0</v>
      </c>
      <c r="D29" s="128">
        <f t="shared" si="1"/>
        <v>0</v>
      </c>
      <c r="E29" s="128">
        <f t="shared" si="1"/>
        <v>0</v>
      </c>
      <c r="F29" s="128">
        <f t="shared" si="1"/>
        <v>0</v>
      </c>
      <c r="G29" s="128">
        <f t="shared" si="1"/>
        <v>0</v>
      </c>
      <c r="H29" s="128">
        <f t="shared" si="1"/>
        <v>0</v>
      </c>
      <c r="I29" s="128">
        <f t="shared" si="1"/>
        <v>0</v>
      </c>
      <c r="J29" s="128">
        <f t="shared" si="1"/>
        <v>0</v>
      </c>
      <c r="K29" s="128">
        <f t="shared" si="1"/>
        <v>0</v>
      </c>
      <c r="L29" s="128">
        <f t="shared" si="1"/>
        <v>0</v>
      </c>
      <c r="M29" s="128">
        <f t="shared" si="1"/>
        <v>0</v>
      </c>
      <c r="N29" s="128">
        <f t="shared" si="1"/>
        <v>0</v>
      </c>
      <c r="O29" s="128">
        <f t="shared" si="1"/>
        <v>0</v>
      </c>
      <c r="P29" s="128">
        <f t="shared" si="1"/>
        <v>0</v>
      </c>
      <c r="Q29" s="128">
        <f t="shared" si="1"/>
        <v>0</v>
      </c>
      <c r="R29" s="128">
        <f t="shared" si="1"/>
        <v>0</v>
      </c>
      <c r="S29" s="128">
        <f t="shared" si="1"/>
        <v>0</v>
      </c>
      <c r="T29" s="128">
        <f t="shared" si="1"/>
        <v>0</v>
      </c>
      <c r="U29" s="128">
        <f t="shared" si="1"/>
        <v>0</v>
      </c>
      <c r="V29" s="128">
        <f t="shared" si="1"/>
        <v>0</v>
      </c>
    </row>
    <row r="30" spans="1:22" x14ac:dyDescent="0.3">
      <c r="A30" s="526"/>
    </row>
    <row r="31" spans="1:22" x14ac:dyDescent="0.3">
      <c r="A31" s="526"/>
    </row>
    <row r="32" spans="1:22" x14ac:dyDescent="0.3">
      <c r="A32" s="526"/>
    </row>
    <row r="33" spans="1:22" x14ac:dyDescent="0.3">
      <c r="A33" s="526"/>
    </row>
    <row r="34" spans="1:22" x14ac:dyDescent="0.3">
      <c r="A34" s="526"/>
    </row>
    <row r="35" spans="1:22" x14ac:dyDescent="0.3">
      <c r="A35" s="526"/>
    </row>
    <row r="36" spans="1:22" x14ac:dyDescent="0.3">
      <c r="A36" s="526"/>
    </row>
    <row r="37" spans="1:22" x14ac:dyDescent="0.3">
      <c r="A37" s="526"/>
      <c r="B37" s="35" t="s">
        <v>164</v>
      </c>
      <c r="L37" s="20"/>
      <c r="M37" s="20"/>
    </row>
    <row r="38" spans="1:22" x14ac:dyDescent="0.3">
      <c r="A38" s="526"/>
      <c r="B38" s="78" t="s">
        <v>82</v>
      </c>
      <c r="C38" s="78">
        <v>2021</v>
      </c>
      <c r="D38" s="79">
        <v>2022</v>
      </c>
      <c r="E38" s="78">
        <v>2023</v>
      </c>
      <c r="F38" s="79">
        <v>2024</v>
      </c>
      <c r="G38" s="78">
        <v>2025</v>
      </c>
      <c r="H38" s="79">
        <v>2026</v>
      </c>
      <c r="I38" s="78">
        <v>2027</v>
      </c>
      <c r="J38" s="79">
        <v>2028</v>
      </c>
      <c r="K38" s="78">
        <v>2029</v>
      </c>
      <c r="L38" s="79">
        <v>2030</v>
      </c>
      <c r="M38" s="78">
        <v>2031</v>
      </c>
      <c r="N38" s="79">
        <v>2032</v>
      </c>
      <c r="O38" s="78">
        <v>2033</v>
      </c>
      <c r="P38" s="79">
        <v>2034</v>
      </c>
      <c r="Q38" s="78">
        <v>2035</v>
      </c>
      <c r="R38" s="79">
        <v>2036</v>
      </c>
      <c r="S38" s="78">
        <v>2037</v>
      </c>
      <c r="T38" s="79">
        <v>2038</v>
      </c>
      <c r="U38" s="78">
        <v>2039</v>
      </c>
      <c r="V38" s="79">
        <v>2040</v>
      </c>
    </row>
    <row r="39" spans="1:22" x14ac:dyDescent="0.3">
      <c r="A39" s="526"/>
      <c r="B39" s="33" t="s">
        <v>43</v>
      </c>
      <c r="C39" s="81" t="str">
        <f>IFERROR(DTE_demand_forecast!C220*Historical_Cost!#REF!,"-")</f>
        <v>-</v>
      </c>
      <c r="D39" s="81" t="str">
        <f>IFERROR(DTE_demand_forecast!D220*Historical_Cost!#REF!,"-")</f>
        <v>-</v>
      </c>
      <c r="E39" s="81" t="str">
        <f>IFERROR(DTE_demand_forecast!E220*Historical_Cost!#REF!,"-")</f>
        <v>-</v>
      </c>
      <c r="F39" s="81" t="str">
        <f>IFERROR(DTE_demand_forecast!F220*Historical_Cost!#REF!,"-")</f>
        <v>-</v>
      </c>
      <c r="G39" s="81" t="str">
        <f>IFERROR(DTE_demand_forecast!G220*Historical_Cost!#REF!,"-")</f>
        <v>-</v>
      </c>
      <c r="H39" s="81" t="str">
        <f>IFERROR(DTE_demand_forecast!H220*Historical_Cost!#REF!,"-")</f>
        <v>-</v>
      </c>
      <c r="I39" s="81" t="str">
        <f>IFERROR(DTE_demand_forecast!I220*Historical_Cost!#REF!,"-")</f>
        <v>-</v>
      </c>
      <c r="J39" s="81" t="str">
        <f>IFERROR(DTE_demand_forecast!J220*Historical_Cost!#REF!,"-")</f>
        <v>-</v>
      </c>
      <c r="K39" s="81" t="str">
        <f>IFERROR(DTE_demand_forecast!K220*Historical_Cost!#REF!,"-")</f>
        <v>-</v>
      </c>
      <c r="L39" s="81" t="str">
        <f>IFERROR(DTE_demand_forecast!L220*Historical_Cost!#REF!,"-")</f>
        <v>-</v>
      </c>
      <c r="M39" s="81" t="str">
        <f>IFERROR(DTE_demand_forecast!M220*Historical_Cost!#REF!,"-")</f>
        <v>-</v>
      </c>
      <c r="N39" s="81" t="str">
        <f>IFERROR(DTE_demand_forecast!N220*Historical_Cost!#REF!,"-")</f>
        <v>-</v>
      </c>
      <c r="O39" s="81" t="str">
        <f>IFERROR(DTE_demand_forecast!O220*Historical_Cost!#REF!,"-")</f>
        <v>-</v>
      </c>
      <c r="P39" s="81" t="str">
        <f>IFERROR(DTE_demand_forecast!P220*Historical_Cost!#REF!,"-")</f>
        <v>-</v>
      </c>
      <c r="Q39" s="81" t="str">
        <f>IFERROR(DTE_demand_forecast!Q220*Historical_Cost!#REF!,"-")</f>
        <v>-</v>
      </c>
      <c r="R39" s="81" t="str">
        <f>IFERROR(DTE_demand_forecast!R220*Historical_Cost!#REF!,"-")</f>
        <v>-</v>
      </c>
      <c r="S39" s="81" t="str">
        <f>IFERROR(DTE_demand_forecast!S220*Historical_Cost!#REF!,"-")</f>
        <v>-</v>
      </c>
      <c r="T39" s="81" t="str">
        <f>IFERROR(DTE_demand_forecast!T220*Historical_Cost!#REF!,"-")</f>
        <v>-</v>
      </c>
      <c r="U39" s="81" t="str">
        <f>IFERROR(DTE_demand_forecast!U220*Historical_Cost!#REF!,"-")</f>
        <v>-</v>
      </c>
      <c r="V39" s="81" t="str">
        <f>IFERROR(DTE_demand_forecast!V220*Historical_Cost!#REF!,"-")</f>
        <v>-</v>
      </c>
    </row>
    <row r="40" spans="1:22" x14ac:dyDescent="0.3">
      <c r="A40" s="526"/>
      <c r="B40" s="33" t="s">
        <v>41</v>
      </c>
      <c r="C40" s="81" t="str">
        <f>IFERROR(DTE_demand_forecast!C221*Historical_Cost!#REF!,"-")</f>
        <v>-</v>
      </c>
      <c r="D40" s="81" t="str">
        <f>IFERROR(DTE_demand_forecast!D221*Historical_Cost!#REF!,"-")</f>
        <v>-</v>
      </c>
      <c r="E40" s="81" t="str">
        <f>IFERROR(DTE_demand_forecast!E221*Historical_Cost!#REF!,"-")</f>
        <v>-</v>
      </c>
      <c r="F40" s="81" t="str">
        <f>IFERROR(DTE_demand_forecast!F221*Historical_Cost!#REF!,"-")</f>
        <v>-</v>
      </c>
      <c r="G40" s="81" t="str">
        <f>IFERROR(DTE_demand_forecast!G221*Historical_Cost!#REF!,"-")</f>
        <v>-</v>
      </c>
      <c r="H40" s="81" t="str">
        <f>IFERROR(DTE_demand_forecast!H221*Historical_Cost!#REF!,"-")</f>
        <v>-</v>
      </c>
      <c r="I40" s="81" t="str">
        <f>IFERROR(DTE_demand_forecast!I221*Historical_Cost!#REF!,"-")</f>
        <v>-</v>
      </c>
      <c r="J40" s="81" t="str">
        <f>IFERROR(DTE_demand_forecast!J221*Historical_Cost!#REF!,"-")</f>
        <v>-</v>
      </c>
      <c r="K40" s="81" t="str">
        <f>IFERROR(DTE_demand_forecast!K221*Historical_Cost!#REF!,"-")</f>
        <v>-</v>
      </c>
      <c r="L40" s="81" t="str">
        <f>IFERROR(DTE_demand_forecast!L221*Historical_Cost!#REF!,"-")</f>
        <v>-</v>
      </c>
      <c r="M40" s="81" t="str">
        <f>IFERROR(DTE_demand_forecast!M221*Historical_Cost!#REF!,"-")</f>
        <v>-</v>
      </c>
      <c r="N40" s="81" t="str">
        <f>IFERROR(DTE_demand_forecast!N221*Historical_Cost!#REF!,"-")</f>
        <v>-</v>
      </c>
      <c r="O40" s="81" t="str">
        <f>IFERROR(DTE_demand_forecast!O221*Historical_Cost!#REF!,"-")</f>
        <v>-</v>
      </c>
      <c r="P40" s="81" t="str">
        <f>IFERROR(DTE_demand_forecast!P221*Historical_Cost!#REF!,"-")</f>
        <v>-</v>
      </c>
      <c r="Q40" s="81" t="str">
        <f>IFERROR(DTE_demand_forecast!Q221*Historical_Cost!#REF!,"-")</f>
        <v>-</v>
      </c>
      <c r="R40" s="81" t="str">
        <f>IFERROR(DTE_demand_forecast!R221*Historical_Cost!#REF!,"-")</f>
        <v>-</v>
      </c>
      <c r="S40" s="81" t="str">
        <f>IFERROR(DTE_demand_forecast!S221*Historical_Cost!#REF!,"-")</f>
        <v>-</v>
      </c>
      <c r="T40" s="81" t="str">
        <f>IFERROR(DTE_demand_forecast!T221*Historical_Cost!#REF!,"-")</f>
        <v>-</v>
      </c>
      <c r="U40" s="81" t="str">
        <f>IFERROR(DTE_demand_forecast!U221*Historical_Cost!#REF!,"-")</f>
        <v>-</v>
      </c>
      <c r="V40" s="81" t="str">
        <f>IFERROR(DTE_demand_forecast!V221*Historical_Cost!#REF!,"-")</f>
        <v>-</v>
      </c>
    </row>
    <row r="41" spans="1:22" x14ac:dyDescent="0.3">
      <c r="A41" s="526"/>
      <c r="B41" s="33" t="s">
        <v>40</v>
      </c>
      <c r="C41" s="81" t="str">
        <f>IFERROR(DTE_demand_forecast!C222*Historical_Cost!#REF!,"-")</f>
        <v>-</v>
      </c>
      <c r="D41" s="81" t="str">
        <f>IFERROR(DTE_demand_forecast!D222*Historical_Cost!#REF!,"-")</f>
        <v>-</v>
      </c>
      <c r="E41" s="81" t="str">
        <f>IFERROR(DTE_demand_forecast!E222*Historical_Cost!#REF!,"-")</f>
        <v>-</v>
      </c>
      <c r="F41" s="81" t="str">
        <f>IFERROR(DTE_demand_forecast!F222*Historical_Cost!#REF!,"-")</f>
        <v>-</v>
      </c>
      <c r="G41" s="81" t="str">
        <f>IFERROR(DTE_demand_forecast!G222*Historical_Cost!#REF!,"-")</f>
        <v>-</v>
      </c>
      <c r="H41" s="81" t="str">
        <f>IFERROR(DTE_demand_forecast!H222*Historical_Cost!#REF!,"-")</f>
        <v>-</v>
      </c>
      <c r="I41" s="81" t="str">
        <f>IFERROR(DTE_demand_forecast!I222*Historical_Cost!#REF!,"-")</f>
        <v>-</v>
      </c>
      <c r="J41" s="81" t="str">
        <f>IFERROR(DTE_demand_forecast!J222*Historical_Cost!#REF!,"-")</f>
        <v>-</v>
      </c>
      <c r="K41" s="81" t="str">
        <f>IFERROR(DTE_demand_forecast!K222*Historical_Cost!#REF!,"-")</f>
        <v>-</v>
      </c>
      <c r="L41" s="81" t="str">
        <f>IFERROR(DTE_demand_forecast!L222*Historical_Cost!#REF!,"-")</f>
        <v>-</v>
      </c>
      <c r="M41" s="81" t="str">
        <f>IFERROR(DTE_demand_forecast!M222*Historical_Cost!#REF!,"-")</f>
        <v>-</v>
      </c>
      <c r="N41" s="81" t="str">
        <f>IFERROR(DTE_demand_forecast!N222*Historical_Cost!#REF!,"-")</f>
        <v>-</v>
      </c>
      <c r="O41" s="81" t="str">
        <f>IFERROR(DTE_demand_forecast!O222*Historical_Cost!#REF!,"-")</f>
        <v>-</v>
      </c>
      <c r="P41" s="81" t="str">
        <f>IFERROR(DTE_demand_forecast!P222*Historical_Cost!#REF!,"-")</f>
        <v>-</v>
      </c>
      <c r="Q41" s="81" t="str">
        <f>IFERROR(DTE_demand_forecast!Q222*Historical_Cost!#REF!,"-")</f>
        <v>-</v>
      </c>
      <c r="R41" s="81" t="str">
        <f>IFERROR(DTE_demand_forecast!R222*Historical_Cost!#REF!,"-")</f>
        <v>-</v>
      </c>
      <c r="S41" s="81" t="str">
        <f>IFERROR(DTE_demand_forecast!S222*Historical_Cost!#REF!,"-")</f>
        <v>-</v>
      </c>
      <c r="T41" s="81" t="str">
        <f>IFERROR(DTE_demand_forecast!T222*Historical_Cost!#REF!,"-")</f>
        <v>-</v>
      </c>
      <c r="U41" s="81" t="str">
        <f>IFERROR(DTE_demand_forecast!U222*Historical_Cost!#REF!,"-")</f>
        <v>-</v>
      </c>
      <c r="V41" s="81" t="str">
        <f>IFERROR(DTE_demand_forecast!V222*Historical_Cost!#REF!,"-")</f>
        <v>-</v>
      </c>
    </row>
    <row r="42" spans="1:22" x14ac:dyDescent="0.3">
      <c r="A42" s="526"/>
      <c r="B42" s="33" t="s">
        <v>80</v>
      </c>
      <c r="C42" s="81" t="str">
        <f>IFERROR(DTE_demand_forecast!C223*Historical_Cost!#REF!,"-")</f>
        <v>-</v>
      </c>
      <c r="D42" s="81" t="str">
        <f>IFERROR(DTE_demand_forecast!D223*Historical_Cost!#REF!,"-")</f>
        <v>-</v>
      </c>
      <c r="E42" s="81" t="str">
        <f>IFERROR(DTE_demand_forecast!E223*Historical_Cost!#REF!,"-")</f>
        <v>-</v>
      </c>
      <c r="F42" s="81" t="str">
        <f>IFERROR(DTE_demand_forecast!F223*Historical_Cost!#REF!,"-")</f>
        <v>-</v>
      </c>
      <c r="G42" s="81" t="str">
        <f>IFERROR(DTE_demand_forecast!G223*Historical_Cost!#REF!,"-")</f>
        <v>-</v>
      </c>
      <c r="H42" s="81" t="str">
        <f>IFERROR(DTE_demand_forecast!H223*Historical_Cost!#REF!,"-")</f>
        <v>-</v>
      </c>
      <c r="I42" s="81" t="str">
        <f>IFERROR(DTE_demand_forecast!I223*Historical_Cost!#REF!,"-")</f>
        <v>-</v>
      </c>
      <c r="J42" s="81" t="str">
        <f>IFERROR(DTE_demand_forecast!J223*Historical_Cost!#REF!,"-")</f>
        <v>-</v>
      </c>
      <c r="K42" s="81" t="str">
        <f>IFERROR(DTE_demand_forecast!K223*Historical_Cost!#REF!,"-")</f>
        <v>-</v>
      </c>
      <c r="L42" s="81" t="str">
        <f>IFERROR(DTE_demand_forecast!L223*Historical_Cost!#REF!,"-")</f>
        <v>-</v>
      </c>
      <c r="M42" s="81" t="str">
        <f>IFERROR(DTE_demand_forecast!M223*Historical_Cost!#REF!,"-")</f>
        <v>-</v>
      </c>
      <c r="N42" s="81" t="str">
        <f>IFERROR(DTE_demand_forecast!N223*Historical_Cost!#REF!,"-")</f>
        <v>-</v>
      </c>
      <c r="O42" s="81" t="str">
        <f>IFERROR(DTE_demand_forecast!O223*Historical_Cost!#REF!,"-")</f>
        <v>-</v>
      </c>
      <c r="P42" s="81" t="str">
        <f>IFERROR(DTE_demand_forecast!P223*Historical_Cost!#REF!,"-")</f>
        <v>-</v>
      </c>
      <c r="Q42" s="81" t="str">
        <f>IFERROR(DTE_demand_forecast!Q223*Historical_Cost!#REF!,"-")</f>
        <v>-</v>
      </c>
      <c r="R42" s="81" t="str">
        <f>IFERROR(DTE_demand_forecast!R223*Historical_Cost!#REF!,"-")</f>
        <v>-</v>
      </c>
      <c r="S42" s="81" t="str">
        <f>IFERROR(DTE_demand_forecast!S223*Historical_Cost!#REF!,"-")</f>
        <v>-</v>
      </c>
      <c r="T42" s="81" t="str">
        <f>IFERROR(DTE_demand_forecast!T223*Historical_Cost!#REF!,"-")</f>
        <v>-</v>
      </c>
      <c r="U42" s="81" t="str">
        <f>IFERROR(DTE_demand_forecast!U223*Historical_Cost!#REF!,"-")</f>
        <v>-</v>
      </c>
      <c r="V42" s="81" t="str">
        <f>IFERROR(DTE_demand_forecast!V223*Historical_Cost!#REF!,"-")</f>
        <v>-</v>
      </c>
    </row>
    <row r="43" spans="1:22" x14ac:dyDescent="0.3">
      <c r="A43" s="526"/>
      <c r="B43" s="33" t="s">
        <v>44</v>
      </c>
      <c r="C43" s="81" t="str">
        <f>IFERROR(DTE_demand_forecast!C224*Historical_Cost!#REF!,"-")</f>
        <v>-</v>
      </c>
      <c r="D43" s="81" t="str">
        <f>IFERROR(DTE_demand_forecast!D224*Historical_Cost!#REF!,"-")</f>
        <v>-</v>
      </c>
      <c r="E43" s="81" t="str">
        <f>IFERROR(DTE_demand_forecast!E224*Historical_Cost!#REF!,"-")</f>
        <v>-</v>
      </c>
      <c r="F43" s="81" t="str">
        <f>IFERROR(DTE_demand_forecast!F224*Historical_Cost!#REF!,"-")</f>
        <v>-</v>
      </c>
      <c r="G43" s="81" t="str">
        <f>IFERROR(DTE_demand_forecast!G224*Historical_Cost!#REF!,"-")</f>
        <v>-</v>
      </c>
      <c r="H43" s="81" t="str">
        <f>IFERROR(DTE_demand_forecast!H224*Historical_Cost!#REF!,"-")</f>
        <v>-</v>
      </c>
      <c r="I43" s="81" t="str">
        <f>IFERROR(DTE_demand_forecast!I224*Historical_Cost!#REF!,"-")</f>
        <v>-</v>
      </c>
      <c r="J43" s="81" t="str">
        <f>IFERROR(DTE_demand_forecast!J224*Historical_Cost!#REF!,"-")</f>
        <v>-</v>
      </c>
      <c r="K43" s="81" t="str">
        <f>IFERROR(DTE_demand_forecast!K224*Historical_Cost!#REF!,"-")</f>
        <v>-</v>
      </c>
      <c r="L43" s="81" t="str">
        <f>IFERROR(DTE_demand_forecast!L224*Historical_Cost!#REF!,"-")</f>
        <v>-</v>
      </c>
      <c r="M43" s="81" t="str">
        <f>IFERROR(DTE_demand_forecast!M224*Historical_Cost!#REF!,"-")</f>
        <v>-</v>
      </c>
      <c r="N43" s="81" t="str">
        <f>IFERROR(DTE_demand_forecast!N224*Historical_Cost!#REF!,"-")</f>
        <v>-</v>
      </c>
      <c r="O43" s="81" t="str">
        <f>IFERROR(DTE_demand_forecast!O224*Historical_Cost!#REF!,"-")</f>
        <v>-</v>
      </c>
      <c r="P43" s="81" t="str">
        <f>IFERROR(DTE_demand_forecast!P224*Historical_Cost!#REF!,"-")</f>
        <v>-</v>
      </c>
      <c r="Q43" s="81" t="str">
        <f>IFERROR(DTE_demand_forecast!Q224*Historical_Cost!#REF!,"-")</f>
        <v>-</v>
      </c>
      <c r="R43" s="81" t="str">
        <f>IFERROR(DTE_demand_forecast!R224*Historical_Cost!#REF!,"-")</f>
        <v>-</v>
      </c>
      <c r="S43" s="81" t="str">
        <f>IFERROR(DTE_demand_forecast!S224*Historical_Cost!#REF!,"-")</f>
        <v>-</v>
      </c>
      <c r="T43" s="81" t="str">
        <f>IFERROR(DTE_demand_forecast!T224*Historical_Cost!#REF!,"-")</f>
        <v>-</v>
      </c>
      <c r="U43" s="81" t="str">
        <f>IFERROR(DTE_demand_forecast!U224*Historical_Cost!#REF!,"-")</f>
        <v>-</v>
      </c>
      <c r="V43" s="81" t="str">
        <f>IFERROR(DTE_demand_forecast!V224*Historical_Cost!#REF!,"-")</f>
        <v>-</v>
      </c>
    </row>
    <row r="44" spans="1:22" x14ac:dyDescent="0.3">
      <c r="A44" s="526"/>
      <c r="B44" s="33" t="s">
        <v>81</v>
      </c>
      <c r="C44" s="81" t="str">
        <f>IFERROR(DTE_demand_forecast!C225*Historical_Cost!#REF!,"-")</f>
        <v>-</v>
      </c>
      <c r="D44" s="81" t="str">
        <f>IFERROR(DTE_demand_forecast!D225*Historical_Cost!#REF!,"-")</f>
        <v>-</v>
      </c>
      <c r="E44" s="81" t="str">
        <f>IFERROR(DTE_demand_forecast!E225*Historical_Cost!#REF!,"-")</f>
        <v>-</v>
      </c>
      <c r="F44" s="81" t="str">
        <f>IFERROR(DTE_demand_forecast!F225*Historical_Cost!#REF!,"-")</f>
        <v>-</v>
      </c>
      <c r="G44" s="81" t="str">
        <f>IFERROR(DTE_demand_forecast!G225*Historical_Cost!#REF!,"-")</f>
        <v>-</v>
      </c>
      <c r="H44" s="81" t="str">
        <f>IFERROR(DTE_demand_forecast!H225*Historical_Cost!#REF!,"-")</f>
        <v>-</v>
      </c>
      <c r="I44" s="81" t="str">
        <f>IFERROR(DTE_demand_forecast!I225*Historical_Cost!#REF!,"-")</f>
        <v>-</v>
      </c>
      <c r="J44" s="81" t="str">
        <f>IFERROR(DTE_demand_forecast!J225*Historical_Cost!#REF!,"-")</f>
        <v>-</v>
      </c>
      <c r="K44" s="81" t="str">
        <f>IFERROR(DTE_demand_forecast!K225*Historical_Cost!#REF!,"-")</f>
        <v>-</v>
      </c>
      <c r="L44" s="81" t="str">
        <f>IFERROR(DTE_demand_forecast!L225*Historical_Cost!#REF!,"-")</f>
        <v>-</v>
      </c>
      <c r="M44" s="81" t="str">
        <f>IFERROR(DTE_demand_forecast!M225*Historical_Cost!#REF!,"-")</f>
        <v>-</v>
      </c>
      <c r="N44" s="81" t="str">
        <f>IFERROR(DTE_demand_forecast!N225*Historical_Cost!#REF!,"-")</f>
        <v>-</v>
      </c>
      <c r="O44" s="81" t="str">
        <f>IFERROR(DTE_demand_forecast!O225*Historical_Cost!#REF!,"-")</f>
        <v>-</v>
      </c>
      <c r="P44" s="81" t="str">
        <f>IFERROR(DTE_demand_forecast!P225*Historical_Cost!#REF!,"-")</f>
        <v>-</v>
      </c>
      <c r="Q44" s="81" t="str">
        <f>IFERROR(DTE_demand_forecast!Q225*Historical_Cost!#REF!,"-")</f>
        <v>-</v>
      </c>
      <c r="R44" s="81" t="str">
        <f>IFERROR(DTE_demand_forecast!R225*Historical_Cost!#REF!,"-")</f>
        <v>-</v>
      </c>
      <c r="S44" s="81" t="str">
        <f>IFERROR(DTE_demand_forecast!S225*Historical_Cost!#REF!,"-")</f>
        <v>-</v>
      </c>
      <c r="T44" s="81" t="str">
        <f>IFERROR(DTE_demand_forecast!T225*Historical_Cost!#REF!,"-")</f>
        <v>-</v>
      </c>
      <c r="U44" s="81" t="str">
        <f>IFERROR(DTE_demand_forecast!U225*Historical_Cost!#REF!,"-")</f>
        <v>-</v>
      </c>
      <c r="V44" s="81" t="str">
        <f>IFERROR(DTE_demand_forecast!V225*Historical_Cost!#REF!,"-")</f>
        <v>-</v>
      </c>
    </row>
    <row r="45" spans="1:22" x14ac:dyDescent="0.3">
      <c r="A45" s="526"/>
      <c r="B45" s="33" t="s">
        <v>42</v>
      </c>
      <c r="C45" s="81" t="str">
        <f>IFERROR(DTE_demand_forecast!C226*Historical_Cost!#REF!,"-")</f>
        <v>-</v>
      </c>
      <c r="D45" s="81" t="str">
        <f>IFERROR(DTE_demand_forecast!D226*Historical_Cost!#REF!,"-")</f>
        <v>-</v>
      </c>
      <c r="E45" s="81" t="str">
        <f>IFERROR(DTE_demand_forecast!E226*Historical_Cost!#REF!,"-")</f>
        <v>-</v>
      </c>
      <c r="F45" s="81" t="str">
        <f>IFERROR(DTE_demand_forecast!F226*Historical_Cost!#REF!,"-")</f>
        <v>-</v>
      </c>
      <c r="G45" s="81" t="str">
        <f>IFERROR(DTE_demand_forecast!G226*Historical_Cost!#REF!,"-")</f>
        <v>-</v>
      </c>
      <c r="H45" s="81" t="str">
        <f>IFERROR(DTE_demand_forecast!H226*Historical_Cost!#REF!,"-")</f>
        <v>-</v>
      </c>
      <c r="I45" s="81" t="str">
        <f>IFERROR(DTE_demand_forecast!I226*Historical_Cost!#REF!,"-")</f>
        <v>-</v>
      </c>
      <c r="J45" s="81" t="str">
        <f>IFERROR(DTE_demand_forecast!J226*Historical_Cost!#REF!,"-")</f>
        <v>-</v>
      </c>
      <c r="K45" s="81" t="str">
        <f>IFERROR(DTE_demand_forecast!K226*Historical_Cost!#REF!,"-")</f>
        <v>-</v>
      </c>
      <c r="L45" s="81" t="str">
        <f>IFERROR(DTE_demand_forecast!L226*Historical_Cost!#REF!,"-")</f>
        <v>-</v>
      </c>
      <c r="M45" s="81" t="str">
        <f>IFERROR(DTE_demand_forecast!M226*Historical_Cost!#REF!,"-")</f>
        <v>-</v>
      </c>
      <c r="N45" s="81" t="str">
        <f>IFERROR(DTE_demand_forecast!N226*Historical_Cost!#REF!,"-")</f>
        <v>-</v>
      </c>
      <c r="O45" s="81" t="str">
        <f>IFERROR(DTE_demand_forecast!O226*Historical_Cost!#REF!,"-")</f>
        <v>-</v>
      </c>
      <c r="P45" s="81" t="str">
        <f>IFERROR(DTE_demand_forecast!P226*Historical_Cost!#REF!,"-")</f>
        <v>-</v>
      </c>
      <c r="Q45" s="81" t="str">
        <f>IFERROR(DTE_demand_forecast!Q226*Historical_Cost!#REF!,"-")</f>
        <v>-</v>
      </c>
      <c r="R45" s="81" t="str">
        <f>IFERROR(DTE_demand_forecast!R226*Historical_Cost!#REF!,"-")</f>
        <v>-</v>
      </c>
      <c r="S45" s="81" t="str">
        <f>IFERROR(DTE_demand_forecast!S226*Historical_Cost!#REF!,"-")</f>
        <v>-</v>
      </c>
      <c r="T45" s="81" t="str">
        <f>IFERROR(DTE_demand_forecast!T226*Historical_Cost!#REF!,"-")</f>
        <v>-</v>
      </c>
      <c r="U45" s="81" t="str">
        <f>IFERROR(DTE_demand_forecast!U226*Historical_Cost!#REF!,"-")</f>
        <v>-</v>
      </c>
      <c r="V45" s="81" t="str">
        <f>IFERROR(DTE_demand_forecast!V226*Historical_Cost!#REF!,"-")</f>
        <v>-</v>
      </c>
    </row>
    <row r="46" spans="1:22" x14ac:dyDescent="0.3">
      <c r="A46" s="526"/>
      <c r="B46" s="33" t="s">
        <v>45</v>
      </c>
      <c r="C46" s="81" t="str">
        <f>IFERROR(DTE_demand_forecast!C227*Historical_Cost!#REF!,"-")</f>
        <v>-</v>
      </c>
      <c r="D46" s="81" t="str">
        <f>IFERROR(DTE_demand_forecast!D227*Historical_Cost!#REF!,"-")</f>
        <v>-</v>
      </c>
      <c r="E46" s="81" t="str">
        <f>IFERROR(DTE_demand_forecast!E227*Historical_Cost!#REF!,"-")</f>
        <v>-</v>
      </c>
      <c r="F46" s="81" t="str">
        <f>IFERROR(DTE_demand_forecast!F227*Historical_Cost!#REF!,"-")</f>
        <v>-</v>
      </c>
      <c r="G46" s="81" t="str">
        <f>IFERROR(DTE_demand_forecast!G227*Historical_Cost!#REF!,"-")</f>
        <v>-</v>
      </c>
      <c r="H46" s="81" t="str">
        <f>IFERROR(DTE_demand_forecast!H227*Historical_Cost!#REF!,"-")</f>
        <v>-</v>
      </c>
      <c r="I46" s="81" t="str">
        <f>IFERROR(DTE_demand_forecast!I227*Historical_Cost!#REF!,"-")</f>
        <v>-</v>
      </c>
      <c r="J46" s="81" t="str">
        <f>IFERROR(DTE_demand_forecast!J227*Historical_Cost!#REF!,"-")</f>
        <v>-</v>
      </c>
      <c r="K46" s="81" t="str">
        <f>IFERROR(DTE_demand_forecast!K227*Historical_Cost!#REF!,"-")</f>
        <v>-</v>
      </c>
      <c r="L46" s="81" t="str">
        <f>IFERROR(DTE_demand_forecast!L227*Historical_Cost!#REF!,"-")</f>
        <v>-</v>
      </c>
      <c r="M46" s="81" t="str">
        <f>IFERROR(DTE_demand_forecast!M227*Historical_Cost!#REF!,"-")</f>
        <v>-</v>
      </c>
      <c r="N46" s="81" t="str">
        <f>IFERROR(DTE_demand_forecast!N227*Historical_Cost!#REF!,"-")</f>
        <v>-</v>
      </c>
      <c r="O46" s="81" t="str">
        <f>IFERROR(DTE_demand_forecast!O227*Historical_Cost!#REF!,"-")</f>
        <v>-</v>
      </c>
      <c r="P46" s="81" t="str">
        <f>IFERROR(DTE_demand_forecast!P227*Historical_Cost!#REF!,"-")</f>
        <v>-</v>
      </c>
      <c r="Q46" s="81" t="str">
        <f>IFERROR(DTE_demand_forecast!Q227*Historical_Cost!#REF!,"-")</f>
        <v>-</v>
      </c>
      <c r="R46" s="81" t="str">
        <f>IFERROR(DTE_demand_forecast!R227*Historical_Cost!#REF!,"-")</f>
        <v>-</v>
      </c>
      <c r="S46" s="81" t="str">
        <f>IFERROR(DTE_demand_forecast!S227*Historical_Cost!#REF!,"-")</f>
        <v>-</v>
      </c>
      <c r="T46" s="81" t="str">
        <f>IFERROR(DTE_demand_forecast!T227*Historical_Cost!#REF!,"-")</f>
        <v>-</v>
      </c>
      <c r="U46" s="81" t="str">
        <f>IFERROR(DTE_demand_forecast!U227*Historical_Cost!#REF!,"-")</f>
        <v>-</v>
      </c>
      <c r="V46" s="81" t="str">
        <f>IFERROR(DTE_demand_forecast!V227*Historical_Cost!#REF!,"-")</f>
        <v>-</v>
      </c>
    </row>
    <row r="47" spans="1:22" x14ac:dyDescent="0.3">
      <c r="A47" s="526"/>
      <c r="B47" s="33" t="s">
        <v>84</v>
      </c>
      <c r="C47" s="128">
        <f t="shared" ref="C47:V47" si="2">SUM(C39:C46)</f>
        <v>0</v>
      </c>
      <c r="D47" s="128">
        <f t="shared" si="2"/>
        <v>0</v>
      </c>
      <c r="E47" s="128">
        <f t="shared" si="2"/>
        <v>0</v>
      </c>
      <c r="F47" s="128">
        <f t="shared" si="2"/>
        <v>0</v>
      </c>
      <c r="G47" s="128">
        <f t="shared" si="2"/>
        <v>0</v>
      </c>
      <c r="H47" s="128">
        <f t="shared" si="2"/>
        <v>0</v>
      </c>
      <c r="I47" s="128">
        <f t="shared" si="2"/>
        <v>0</v>
      </c>
      <c r="J47" s="128">
        <f t="shared" si="2"/>
        <v>0</v>
      </c>
      <c r="K47" s="128">
        <f t="shared" si="2"/>
        <v>0</v>
      </c>
      <c r="L47" s="128">
        <f t="shared" si="2"/>
        <v>0</v>
      </c>
      <c r="M47" s="128">
        <f t="shared" si="2"/>
        <v>0</v>
      </c>
      <c r="N47" s="128">
        <f t="shared" si="2"/>
        <v>0</v>
      </c>
      <c r="O47" s="128">
        <f t="shared" si="2"/>
        <v>0</v>
      </c>
      <c r="P47" s="128">
        <f t="shared" si="2"/>
        <v>0</v>
      </c>
      <c r="Q47" s="128">
        <f t="shared" si="2"/>
        <v>0</v>
      </c>
      <c r="R47" s="128">
        <f t="shared" si="2"/>
        <v>0</v>
      </c>
      <c r="S47" s="128">
        <f t="shared" si="2"/>
        <v>0</v>
      </c>
      <c r="T47" s="128">
        <f t="shared" si="2"/>
        <v>0</v>
      </c>
      <c r="U47" s="128">
        <f t="shared" si="2"/>
        <v>0</v>
      </c>
      <c r="V47" s="128">
        <f t="shared" si="2"/>
        <v>0</v>
      </c>
    </row>
    <row r="48" spans="1:22" x14ac:dyDescent="0.3">
      <c r="A48" s="526"/>
    </row>
    <row r="49" spans="1:22" x14ac:dyDescent="0.3">
      <c r="A49" s="526"/>
    </row>
    <row r="50" spans="1:22" x14ac:dyDescent="0.3">
      <c r="A50" s="526"/>
    </row>
    <row r="51" spans="1:22" x14ac:dyDescent="0.3">
      <c r="A51" s="526"/>
    </row>
    <row r="52" spans="1:22" x14ac:dyDescent="0.3">
      <c r="A52" s="526"/>
    </row>
    <row r="53" spans="1:22" x14ac:dyDescent="0.3">
      <c r="A53" s="526"/>
    </row>
    <row r="54" spans="1:22" x14ac:dyDescent="0.3">
      <c r="A54" s="526"/>
    </row>
    <row r="55" spans="1:22" x14ac:dyDescent="0.3">
      <c r="A55" s="526"/>
    </row>
    <row r="56" spans="1:22" x14ac:dyDescent="0.3">
      <c r="A56" s="526"/>
    </row>
    <row r="57" spans="1:22" x14ac:dyDescent="0.3">
      <c r="A57" s="525">
        <v>0.4</v>
      </c>
      <c r="B57" s="35" t="s">
        <v>162</v>
      </c>
      <c r="L57" s="20"/>
      <c r="M57" s="20"/>
    </row>
    <row r="58" spans="1:22" x14ac:dyDescent="0.3">
      <c r="A58" s="526"/>
      <c r="B58" s="78" t="s">
        <v>82</v>
      </c>
      <c r="C58" s="78">
        <v>2021</v>
      </c>
      <c r="D58" s="79">
        <v>2022</v>
      </c>
      <c r="E58" s="78">
        <v>2023</v>
      </c>
      <c r="F58" s="79">
        <v>2024</v>
      </c>
      <c r="G58" s="78">
        <v>2025</v>
      </c>
      <c r="H58" s="79">
        <v>2026</v>
      </c>
      <c r="I58" s="78">
        <v>2027</v>
      </c>
      <c r="J58" s="79">
        <v>2028</v>
      </c>
      <c r="K58" s="78">
        <v>2029</v>
      </c>
      <c r="L58" s="79">
        <v>2030</v>
      </c>
      <c r="M58" s="78">
        <v>2031</v>
      </c>
      <c r="N58" s="79">
        <v>2032</v>
      </c>
      <c r="O58" s="78">
        <v>2033</v>
      </c>
      <c r="P58" s="79">
        <v>2034</v>
      </c>
      <c r="Q58" s="78">
        <v>2035</v>
      </c>
      <c r="R58" s="79">
        <v>2036</v>
      </c>
      <c r="S58" s="78">
        <v>2037</v>
      </c>
      <c r="T58" s="79">
        <v>2038</v>
      </c>
      <c r="U58" s="78">
        <v>2039</v>
      </c>
      <c r="V58" s="79">
        <v>2040</v>
      </c>
    </row>
    <row r="59" spans="1:22" x14ac:dyDescent="0.3">
      <c r="A59" s="526"/>
      <c r="B59" s="33" t="s">
        <v>43</v>
      </c>
      <c r="C59" s="81" t="str">
        <f>IFERROR(DTE_demand_forecast!C62*Historical_Cost!#REF!,"-")</f>
        <v>-</v>
      </c>
      <c r="D59" s="81" t="str">
        <f>IFERROR(DTE_demand_forecast!D62*Historical_Cost!#REF!,"-")</f>
        <v>-</v>
      </c>
      <c r="E59" s="81" t="str">
        <f>IFERROR(DTE_demand_forecast!E62*Historical_Cost!#REF!,"-")</f>
        <v>-</v>
      </c>
      <c r="F59" s="81" t="str">
        <f>IFERROR(DTE_demand_forecast!F62*Historical_Cost!#REF!,"-")</f>
        <v>-</v>
      </c>
      <c r="G59" s="81" t="str">
        <f>IFERROR(DTE_demand_forecast!G62*Historical_Cost!#REF!,"-")</f>
        <v>-</v>
      </c>
      <c r="H59" s="81" t="str">
        <f>IFERROR(DTE_demand_forecast!H62*Historical_Cost!#REF!,"-")</f>
        <v>-</v>
      </c>
      <c r="I59" s="81" t="str">
        <f>IFERROR(DTE_demand_forecast!I62*Historical_Cost!#REF!,"-")</f>
        <v>-</v>
      </c>
      <c r="J59" s="81" t="str">
        <f>IFERROR(DTE_demand_forecast!J62*Historical_Cost!#REF!,"-")</f>
        <v>-</v>
      </c>
      <c r="K59" s="81" t="str">
        <f>IFERROR(DTE_demand_forecast!K62*Historical_Cost!#REF!,"-")</f>
        <v>-</v>
      </c>
      <c r="L59" s="81" t="str">
        <f>IFERROR(DTE_demand_forecast!L62*Historical_Cost!#REF!,"-")</f>
        <v>-</v>
      </c>
      <c r="M59" s="81" t="str">
        <f>IFERROR(DTE_demand_forecast!M62*Historical_Cost!#REF!,"-")</f>
        <v>-</v>
      </c>
      <c r="N59" s="81" t="str">
        <f>IFERROR(DTE_demand_forecast!N62*Historical_Cost!#REF!,"-")</f>
        <v>-</v>
      </c>
      <c r="O59" s="81" t="str">
        <f>IFERROR(DTE_demand_forecast!O62*Historical_Cost!#REF!,"-")</f>
        <v>-</v>
      </c>
      <c r="P59" s="81" t="str">
        <f>IFERROR(DTE_demand_forecast!P62*Historical_Cost!#REF!,"-")</f>
        <v>-</v>
      </c>
      <c r="Q59" s="81" t="str">
        <f>IFERROR(DTE_demand_forecast!Q62*Historical_Cost!#REF!,"-")</f>
        <v>-</v>
      </c>
      <c r="R59" s="81" t="str">
        <f>IFERROR(DTE_demand_forecast!R62*Historical_Cost!#REF!,"-")</f>
        <v>-</v>
      </c>
      <c r="S59" s="81" t="str">
        <f>IFERROR(DTE_demand_forecast!S62*Historical_Cost!#REF!,"-")</f>
        <v>-</v>
      </c>
      <c r="T59" s="81" t="str">
        <f>IFERROR(DTE_demand_forecast!T62*Historical_Cost!#REF!,"-")</f>
        <v>-</v>
      </c>
      <c r="U59" s="81" t="str">
        <f>IFERROR(DTE_demand_forecast!U62*Historical_Cost!#REF!,"-")</f>
        <v>-</v>
      </c>
      <c r="V59" s="81" t="str">
        <f>IFERROR(DTE_demand_forecast!V62*Historical_Cost!#REF!,"-")</f>
        <v>-</v>
      </c>
    </row>
    <row r="60" spans="1:22" x14ac:dyDescent="0.3">
      <c r="A60" s="526"/>
      <c r="B60" s="33" t="s">
        <v>41</v>
      </c>
      <c r="C60" s="81" t="str">
        <f>IFERROR(DTE_demand_forecast!C63*Historical_Cost!#REF!,"-")</f>
        <v>-</v>
      </c>
      <c r="D60" s="81" t="str">
        <f>IFERROR(DTE_demand_forecast!D63*Historical_Cost!#REF!,"-")</f>
        <v>-</v>
      </c>
      <c r="E60" s="81" t="str">
        <f>IFERROR(DTE_demand_forecast!E63*Historical_Cost!#REF!,"-")</f>
        <v>-</v>
      </c>
      <c r="F60" s="81" t="str">
        <f>IFERROR(DTE_demand_forecast!F63*Historical_Cost!#REF!,"-")</f>
        <v>-</v>
      </c>
      <c r="G60" s="81" t="str">
        <f>IFERROR(DTE_demand_forecast!G63*Historical_Cost!#REF!,"-")</f>
        <v>-</v>
      </c>
      <c r="H60" s="81" t="str">
        <f>IFERROR(DTE_demand_forecast!H63*Historical_Cost!#REF!,"-")</f>
        <v>-</v>
      </c>
      <c r="I60" s="81" t="str">
        <f>IFERROR(DTE_demand_forecast!I63*Historical_Cost!#REF!,"-")</f>
        <v>-</v>
      </c>
      <c r="J60" s="81" t="str">
        <f>IFERROR(DTE_demand_forecast!J63*Historical_Cost!#REF!,"-")</f>
        <v>-</v>
      </c>
      <c r="K60" s="81" t="str">
        <f>IFERROR(DTE_demand_forecast!K63*Historical_Cost!#REF!,"-")</f>
        <v>-</v>
      </c>
      <c r="L60" s="81" t="str">
        <f>IFERROR(DTE_demand_forecast!L63*Historical_Cost!#REF!,"-")</f>
        <v>-</v>
      </c>
      <c r="M60" s="81" t="str">
        <f>IFERROR(DTE_demand_forecast!M63*Historical_Cost!#REF!,"-")</f>
        <v>-</v>
      </c>
      <c r="N60" s="81" t="str">
        <f>IFERROR(DTE_demand_forecast!N63*Historical_Cost!#REF!,"-")</f>
        <v>-</v>
      </c>
      <c r="O60" s="81" t="str">
        <f>IFERROR(DTE_demand_forecast!O63*Historical_Cost!#REF!,"-")</f>
        <v>-</v>
      </c>
      <c r="P60" s="81" t="str">
        <f>IFERROR(DTE_demand_forecast!P63*Historical_Cost!#REF!,"-")</f>
        <v>-</v>
      </c>
      <c r="Q60" s="81" t="str">
        <f>IFERROR(DTE_demand_forecast!Q63*Historical_Cost!#REF!,"-")</f>
        <v>-</v>
      </c>
      <c r="R60" s="81" t="str">
        <f>IFERROR(DTE_demand_forecast!R63*Historical_Cost!#REF!,"-")</f>
        <v>-</v>
      </c>
      <c r="S60" s="81" t="str">
        <f>IFERROR(DTE_demand_forecast!S63*Historical_Cost!#REF!,"-")</f>
        <v>-</v>
      </c>
      <c r="T60" s="81" t="str">
        <f>IFERROR(DTE_demand_forecast!T63*Historical_Cost!#REF!,"-")</f>
        <v>-</v>
      </c>
      <c r="U60" s="81" t="str">
        <f>IFERROR(DTE_demand_forecast!U63*Historical_Cost!#REF!,"-")</f>
        <v>-</v>
      </c>
      <c r="V60" s="81" t="str">
        <f>IFERROR(DTE_demand_forecast!V63*Historical_Cost!#REF!,"-")</f>
        <v>-</v>
      </c>
    </row>
    <row r="61" spans="1:22" x14ac:dyDescent="0.3">
      <c r="A61" s="526"/>
      <c r="B61" s="33" t="s">
        <v>40</v>
      </c>
      <c r="C61" s="81" t="str">
        <f>IFERROR(DTE_demand_forecast!C64*Historical_Cost!#REF!,"-")</f>
        <v>-</v>
      </c>
      <c r="D61" s="81" t="str">
        <f>IFERROR(DTE_demand_forecast!D64*Historical_Cost!#REF!,"-")</f>
        <v>-</v>
      </c>
      <c r="E61" s="81" t="str">
        <f>IFERROR(DTE_demand_forecast!E64*Historical_Cost!#REF!,"-")</f>
        <v>-</v>
      </c>
      <c r="F61" s="81" t="str">
        <f>IFERROR(DTE_demand_forecast!F64*Historical_Cost!#REF!,"-")</f>
        <v>-</v>
      </c>
      <c r="G61" s="81" t="str">
        <f>IFERROR(DTE_demand_forecast!G64*Historical_Cost!#REF!,"-")</f>
        <v>-</v>
      </c>
      <c r="H61" s="81" t="str">
        <f>IFERROR(DTE_demand_forecast!H64*Historical_Cost!#REF!,"-")</f>
        <v>-</v>
      </c>
      <c r="I61" s="81" t="str">
        <f>IFERROR(DTE_demand_forecast!I64*Historical_Cost!#REF!,"-")</f>
        <v>-</v>
      </c>
      <c r="J61" s="81" t="str">
        <f>IFERROR(DTE_demand_forecast!J64*Historical_Cost!#REF!,"-")</f>
        <v>-</v>
      </c>
      <c r="K61" s="81" t="str">
        <f>IFERROR(DTE_demand_forecast!K64*Historical_Cost!#REF!,"-")</f>
        <v>-</v>
      </c>
      <c r="L61" s="81" t="str">
        <f>IFERROR(DTE_demand_forecast!L64*Historical_Cost!#REF!,"-")</f>
        <v>-</v>
      </c>
      <c r="M61" s="81" t="str">
        <f>IFERROR(DTE_demand_forecast!M64*Historical_Cost!#REF!,"-")</f>
        <v>-</v>
      </c>
      <c r="N61" s="81" t="str">
        <f>IFERROR(DTE_demand_forecast!N64*Historical_Cost!#REF!,"-")</f>
        <v>-</v>
      </c>
      <c r="O61" s="81" t="str">
        <f>IFERROR(DTE_demand_forecast!O64*Historical_Cost!#REF!,"-")</f>
        <v>-</v>
      </c>
      <c r="P61" s="81" t="str">
        <f>IFERROR(DTE_demand_forecast!P64*Historical_Cost!#REF!,"-")</f>
        <v>-</v>
      </c>
      <c r="Q61" s="81" t="str">
        <f>IFERROR(DTE_demand_forecast!Q64*Historical_Cost!#REF!,"-")</f>
        <v>-</v>
      </c>
      <c r="R61" s="81" t="str">
        <f>IFERROR(DTE_demand_forecast!R64*Historical_Cost!#REF!,"-")</f>
        <v>-</v>
      </c>
      <c r="S61" s="81" t="str">
        <f>IFERROR(DTE_demand_forecast!S64*Historical_Cost!#REF!,"-")</f>
        <v>-</v>
      </c>
      <c r="T61" s="81" t="str">
        <f>IFERROR(DTE_demand_forecast!T64*Historical_Cost!#REF!,"-")</f>
        <v>-</v>
      </c>
      <c r="U61" s="81" t="str">
        <f>IFERROR(DTE_demand_forecast!U64*Historical_Cost!#REF!,"-")</f>
        <v>-</v>
      </c>
      <c r="V61" s="81" t="str">
        <f>IFERROR(DTE_demand_forecast!V64*Historical_Cost!#REF!,"-")</f>
        <v>-</v>
      </c>
    </row>
    <row r="62" spans="1:22" x14ac:dyDescent="0.3">
      <c r="A62" s="526"/>
      <c r="B62" s="33" t="s">
        <v>80</v>
      </c>
      <c r="C62" s="81" t="str">
        <f>IFERROR(DTE_demand_forecast!C65*Historical_Cost!#REF!,"-")</f>
        <v>-</v>
      </c>
      <c r="D62" s="81" t="str">
        <f>IFERROR(DTE_demand_forecast!D65*Historical_Cost!#REF!,"-")</f>
        <v>-</v>
      </c>
      <c r="E62" s="81" t="str">
        <f>IFERROR(DTE_demand_forecast!E65*Historical_Cost!#REF!,"-")</f>
        <v>-</v>
      </c>
      <c r="F62" s="81" t="str">
        <f>IFERROR(DTE_demand_forecast!F65*Historical_Cost!#REF!,"-")</f>
        <v>-</v>
      </c>
      <c r="G62" s="81" t="str">
        <f>IFERROR(DTE_demand_forecast!G65*Historical_Cost!#REF!,"-")</f>
        <v>-</v>
      </c>
      <c r="H62" s="81" t="str">
        <f>IFERROR(DTE_demand_forecast!H65*Historical_Cost!#REF!,"-")</f>
        <v>-</v>
      </c>
      <c r="I62" s="81" t="str">
        <f>IFERROR(DTE_demand_forecast!I65*Historical_Cost!#REF!,"-")</f>
        <v>-</v>
      </c>
      <c r="J62" s="81" t="str">
        <f>IFERROR(DTE_demand_forecast!J65*Historical_Cost!#REF!,"-")</f>
        <v>-</v>
      </c>
      <c r="K62" s="81" t="str">
        <f>IFERROR(DTE_demand_forecast!K65*Historical_Cost!#REF!,"-")</f>
        <v>-</v>
      </c>
      <c r="L62" s="81" t="str">
        <f>IFERROR(DTE_demand_forecast!L65*Historical_Cost!#REF!,"-")</f>
        <v>-</v>
      </c>
      <c r="M62" s="81" t="str">
        <f>IFERROR(DTE_demand_forecast!M65*Historical_Cost!#REF!,"-")</f>
        <v>-</v>
      </c>
      <c r="N62" s="81" t="str">
        <f>IFERROR(DTE_demand_forecast!N65*Historical_Cost!#REF!,"-")</f>
        <v>-</v>
      </c>
      <c r="O62" s="81" t="str">
        <f>IFERROR(DTE_demand_forecast!O65*Historical_Cost!#REF!,"-")</f>
        <v>-</v>
      </c>
      <c r="P62" s="81" t="str">
        <f>IFERROR(DTE_demand_forecast!P65*Historical_Cost!#REF!,"-")</f>
        <v>-</v>
      </c>
      <c r="Q62" s="81" t="str">
        <f>IFERROR(DTE_demand_forecast!Q65*Historical_Cost!#REF!,"-")</f>
        <v>-</v>
      </c>
      <c r="R62" s="81" t="str">
        <f>IFERROR(DTE_demand_forecast!R65*Historical_Cost!#REF!,"-")</f>
        <v>-</v>
      </c>
      <c r="S62" s="81" t="str">
        <f>IFERROR(DTE_demand_forecast!S65*Historical_Cost!#REF!,"-")</f>
        <v>-</v>
      </c>
      <c r="T62" s="81" t="str">
        <f>IFERROR(DTE_demand_forecast!T65*Historical_Cost!#REF!,"-")</f>
        <v>-</v>
      </c>
      <c r="U62" s="81" t="str">
        <f>IFERROR(DTE_demand_forecast!U65*Historical_Cost!#REF!,"-")</f>
        <v>-</v>
      </c>
      <c r="V62" s="81" t="str">
        <f>IFERROR(DTE_demand_forecast!V65*Historical_Cost!#REF!,"-")</f>
        <v>-</v>
      </c>
    </row>
    <row r="63" spans="1:22" x14ac:dyDescent="0.3">
      <c r="A63" s="526"/>
      <c r="B63" s="33" t="s">
        <v>44</v>
      </c>
      <c r="C63" s="81" t="str">
        <f>IFERROR(DTE_demand_forecast!C66*Historical_Cost!#REF!,"-")</f>
        <v>-</v>
      </c>
      <c r="D63" s="81" t="str">
        <f>IFERROR(DTE_demand_forecast!D66*Historical_Cost!#REF!,"-")</f>
        <v>-</v>
      </c>
      <c r="E63" s="81" t="str">
        <f>IFERROR(DTE_demand_forecast!E66*Historical_Cost!#REF!,"-")</f>
        <v>-</v>
      </c>
      <c r="F63" s="81" t="str">
        <f>IFERROR(DTE_demand_forecast!F66*Historical_Cost!#REF!,"-")</f>
        <v>-</v>
      </c>
      <c r="G63" s="81" t="str">
        <f>IFERROR(DTE_demand_forecast!G66*Historical_Cost!#REF!,"-")</f>
        <v>-</v>
      </c>
      <c r="H63" s="81" t="str">
        <f>IFERROR(DTE_demand_forecast!H66*Historical_Cost!#REF!,"-")</f>
        <v>-</v>
      </c>
      <c r="I63" s="81" t="str">
        <f>IFERROR(DTE_demand_forecast!I66*Historical_Cost!#REF!,"-")</f>
        <v>-</v>
      </c>
      <c r="J63" s="81" t="str">
        <f>IFERROR(DTE_demand_forecast!J66*Historical_Cost!#REF!,"-")</f>
        <v>-</v>
      </c>
      <c r="K63" s="81" t="str">
        <f>IFERROR(DTE_demand_forecast!K66*Historical_Cost!#REF!,"-")</f>
        <v>-</v>
      </c>
      <c r="L63" s="81" t="str">
        <f>IFERROR(DTE_demand_forecast!L66*Historical_Cost!#REF!,"-")</f>
        <v>-</v>
      </c>
      <c r="M63" s="81" t="str">
        <f>IFERROR(DTE_demand_forecast!M66*Historical_Cost!#REF!,"-")</f>
        <v>-</v>
      </c>
      <c r="N63" s="81" t="str">
        <f>IFERROR(DTE_demand_forecast!N66*Historical_Cost!#REF!,"-")</f>
        <v>-</v>
      </c>
      <c r="O63" s="81" t="str">
        <f>IFERROR(DTE_demand_forecast!O66*Historical_Cost!#REF!,"-")</f>
        <v>-</v>
      </c>
      <c r="P63" s="81" t="str">
        <f>IFERROR(DTE_demand_forecast!P66*Historical_Cost!#REF!,"-")</f>
        <v>-</v>
      </c>
      <c r="Q63" s="81" t="str">
        <f>IFERROR(DTE_demand_forecast!Q66*Historical_Cost!#REF!,"-")</f>
        <v>-</v>
      </c>
      <c r="R63" s="81" t="str">
        <f>IFERROR(DTE_demand_forecast!R66*Historical_Cost!#REF!,"-")</f>
        <v>-</v>
      </c>
      <c r="S63" s="81" t="str">
        <f>IFERROR(DTE_demand_forecast!S66*Historical_Cost!#REF!,"-")</f>
        <v>-</v>
      </c>
      <c r="T63" s="81" t="str">
        <f>IFERROR(DTE_demand_forecast!T66*Historical_Cost!#REF!,"-")</f>
        <v>-</v>
      </c>
      <c r="U63" s="81" t="str">
        <f>IFERROR(DTE_demand_forecast!U66*Historical_Cost!#REF!,"-")</f>
        <v>-</v>
      </c>
      <c r="V63" s="81" t="str">
        <f>IFERROR(DTE_demand_forecast!V66*Historical_Cost!#REF!,"-")</f>
        <v>-</v>
      </c>
    </row>
    <row r="64" spans="1:22" x14ac:dyDescent="0.3">
      <c r="A64" s="526"/>
      <c r="B64" s="33" t="s">
        <v>81</v>
      </c>
      <c r="C64" s="81" t="str">
        <f>IFERROR(DTE_demand_forecast!C67*Historical_Cost!#REF!,"-")</f>
        <v>-</v>
      </c>
      <c r="D64" s="81" t="str">
        <f>IFERROR(DTE_demand_forecast!D67*Historical_Cost!#REF!,"-")</f>
        <v>-</v>
      </c>
      <c r="E64" s="81" t="str">
        <f>IFERROR(DTE_demand_forecast!E67*Historical_Cost!#REF!,"-")</f>
        <v>-</v>
      </c>
      <c r="F64" s="81" t="str">
        <f>IFERROR(DTE_demand_forecast!F67*Historical_Cost!#REF!,"-")</f>
        <v>-</v>
      </c>
      <c r="G64" s="81" t="str">
        <f>IFERROR(DTE_demand_forecast!G67*Historical_Cost!#REF!,"-")</f>
        <v>-</v>
      </c>
      <c r="H64" s="81" t="str">
        <f>IFERROR(DTE_demand_forecast!H67*Historical_Cost!#REF!,"-")</f>
        <v>-</v>
      </c>
      <c r="I64" s="81" t="str">
        <f>IFERROR(DTE_demand_forecast!I67*Historical_Cost!#REF!,"-")</f>
        <v>-</v>
      </c>
      <c r="J64" s="81" t="str">
        <f>IFERROR(DTE_demand_forecast!J67*Historical_Cost!#REF!,"-")</f>
        <v>-</v>
      </c>
      <c r="K64" s="81" t="str">
        <f>IFERROR(DTE_demand_forecast!K67*Historical_Cost!#REF!,"-")</f>
        <v>-</v>
      </c>
      <c r="L64" s="81" t="str">
        <f>IFERROR(DTE_demand_forecast!L67*Historical_Cost!#REF!,"-")</f>
        <v>-</v>
      </c>
      <c r="M64" s="81" t="str">
        <f>IFERROR(DTE_demand_forecast!M67*Historical_Cost!#REF!,"-")</f>
        <v>-</v>
      </c>
      <c r="N64" s="81" t="str">
        <f>IFERROR(DTE_demand_forecast!N67*Historical_Cost!#REF!,"-")</f>
        <v>-</v>
      </c>
      <c r="O64" s="81" t="str">
        <f>IFERROR(DTE_demand_forecast!O67*Historical_Cost!#REF!,"-")</f>
        <v>-</v>
      </c>
      <c r="P64" s="81" t="str">
        <f>IFERROR(DTE_demand_forecast!P67*Historical_Cost!#REF!,"-")</f>
        <v>-</v>
      </c>
      <c r="Q64" s="81" t="str">
        <f>IFERROR(DTE_demand_forecast!Q67*Historical_Cost!#REF!,"-")</f>
        <v>-</v>
      </c>
      <c r="R64" s="81" t="str">
        <f>IFERROR(DTE_demand_forecast!R67*Historical_Cost!#REF!,"-")</f>
        <v>-</v>
      </c>
      <c r="S64" s="81" t="str">
        <f>IFERROR(DTE_demand_forecast!S67*Historical_Cost!#REF!,"-")</f>
        <v>-</v>
      </c>
      <c r="T64" s="81" t="str">
        <f>IFERROR(DTE_demand_forecast!T67*Historical_Cost!#REF!,"-")</f>
        <v>-</v>
      </c>
      <c r="U64" s="81" t="str">
        <f>IFERROR(DTE_demand_forecast!U67*Historical_Cost!#REF!,"-")</f>
        <v>-</v>
      </c>
      <c r="V64" s="81" t="str">
        <f>IFERROR(DTE_demand_forecast!V67*Historical_Cost!#REF!,"-")</f>
        <v>-</v>
      </c>
    </row>
    <row r="65" spans="1:22" x14ac:dyDescent="0.3">
      <c r="A65" s="526"/>
      <c r="B65" s="33" t="s">
        <v>42</v>
      </c>
      <c r="C65" s="81" t="str">
        <f>IFERROR(DTE_demand_forecast!C68*Historical_Cost!#REF!,"-")</f>
        <v>-</v>
      </c>
      <c r="D65" s="81" t="str">
        <f>IFERROR(DTE_demand_forecast!D68*Historical_Cost!#REF!,"-")</f>
        <v>-</v>
      </c>
      <c r="E65" s="81" t="str">
        <f>IFERROR(DTE_demand_forecast!E68*Historical_Cost!#REF!,"-")</f>
        <v>-</v>
      </c>
      <c r="F65" s="81" t="str">
        <f>IFERROR(DTE_demand_forecast!F68*Historical_Cost!#REF!,"-")</f>
        <v>-</v>
      </c>
      <c r="G65" s="81" t="str">
        <f>IFERROR(DTE_demand_forecast!G68*Historical_Cost!#REF!,"-")</f>
        <v>-</v>
      </c>
      <c r="H65" s="81" t="str">
        <f>IFERROR(DTE_demand_forecast!H68*Historical_Cost!#REF!,"-")</f>
        <v>-</v>
      </c>
      <c r="I65" s="81" t="str">
        <f>IFERROR(DTE_demand_forecast!I68*Historical_Cost!#REF!,"-")</f>
        <v>-</v>
      </c>
      <c r="J65" s="81" t="str">
        <f>IFERROR(DTE_demand_forecast!J68*Historical_Cost!#REF!,"-")</f>
        <v>-</v>
      </c>
      <c r="K65" s="81" t="str">
        <f>IFERROR(DTE_demand_forecast!K68*Historical_Cost!#REF!,"-")</f>
        <v>-</v>
      </c>
      <c r="L65" s="81" t="str">
        <f>IFERROR(DTE_demand_forecast!L68*Historical_Cost!#REF!,"-")</f>
        <v>-</v>
      </c>
      <c r="M65" s="81" t="str">
        <f>IFERROR(DTE_demand_forecast!M68*Historical_Cost!#REF!,"-")</f>
        <v>-</v>
      </c>
      <c r="N65" s="81" t="str">
        <f>IFERROR(DTE_demand_forecast!N68*Historical_Cost!#REF!,"-")</f>
        <v>-</v>
      </c>
      <c r="O65" s="81" t="str">
        <f>IFERROR(DTE_demand_forecast!O68*Historical_Cost!#REF!,"-")</f>
        <v>-</v>
      </c>
      <c r="P65" s="81" t="str">
        <f>IFERROR(DTE_demand_forecast!P68*Historical_Cost!#REF!,"-")</f>
        <v>-</v>
      </c>
      <c r="Q65" s="81" t="str">
        <f>IFERROR(DTE_demand_forecast!Q68*Historical_Cost!#REF!,"-")</f>
        <v>-</v>
      </c>
      <c r="R65" s="81" t="str">
        <f>IFERROR(DTE_demand_forecast!R68*Historical_Cost!#REF!,"-")</f>
        <v>-</v>
      </c>
      <c r="S65" s="81" t="str">
        <f>IFERROR(DTE_demand_forecast!S68*Historical_Cost!#REF!,"-")</f>
        <v>-</v>
      </c>
      <c r="T65" s="81" t="str">
        <f>IFERROR(DTE_demand_forecast!T68*Historical_Cost!#REF!,"-")</f>
        <v>-</v>
      </c>
      <c r="U65" s="81" t="str">
        <f>IFERROR(DTE_demand_forecast!U68*Historical_Cost!#REF!,"-")</f>
        <v>-</v>
      </c>
      <c r="V65" s="81" t="str">
        <f>IFERROR(DTE_demand_forecast!V68*Historical_Cost!#REF!,"-")</f>
        <v>-</v>
      </c>
    </row>
    <row r="66" spans="1:22" x14ac:dyDescent="0.3">
      <c r="A66" s="526"/>
      <c r="B66" s="33" t="s">
        <v>45</v>
      </c>
      <c r="C66" s="81" t="str">
        <f>IFERROR(DTE_demand_forecast!C69*Historical_Cost!#REF!,"-")</f>
        <v>-</v>
      </c>
      <c r="D66" s="81" t="str">
        <f>IFERROR(DTE_demand_forecast!D69*Historical_Cost!#REF!,"-")</f>
        <v>-</v>
      </c>
      <c r="E66" s="81" t="str">
        <f>IFERROR(DTE_demand_forecast!E69*Historical_Cost!#REF!,"-")</f>
        <v>-</v>
      </c>
      <c r="F66" s="81" t="str">
        <f>IFERROR(DTE_demand_forecast!F69*Historical_Cost!#REF!,"-")</f>
        <v>-</v>
      </c>
      <c r="G66" s="81" t="str">
        <f>IFERROR(DTE_demand_forecast!G69*Historical_Cost!#REF!,"-")</f>
        <v>-</v>
      </c>
      <c r="H66" s="81" t="str">
        <f>IFERROR(DTE_demand_forecast!H69*Historical_Cost!#REF!,"-")</f>
        <v>-</v>
      </c>
      <c r="I66" s="81" t="str">
        <f>IFERROR(DTE_demand_forecast!I69*Historical_Cost!#REF!,"-")</f>
        <v>-</v>
      </c>
      <c r="J66" s="81" t="str">
        <f>IFERROR(DTE_demand_forecast!J69*Historical_Cost!#REF!,"-")</f>
        <v>-</v>
      </c>
      <c r="K66" s="81" t="str">
        <f>IFERROR(DTE_demand_forecast!K69*Historical_Cost!#REF!,"-")</f>
        <v>-</v>
      </c>
      <c r="L66" s="81" t="str">
        <f>IFERROR(DTE_demand_forecast!L69*Historical_Cost!#REF!,"-")</f>
        <v>-</v>
      </c>
      <c r="M66" s="81" t="str">
        <f>IFERROR(DTE_demand_forecast!M69*Historical_Cost!#REF!,"-")</f>
        <v>-</v>
      </c>
      <c r="N66" s="81" t="str">
        <f>IFERROR(DTE_demand_forecast!N69*Historical_Cost!#REF!,"-")</f>
        <v>-</v>
      </c>
      <c r="O66" s="81" t="str">
        <f>IFERROR(DTE_demand_forecast!O69*Historical_Cost!#REF!,"-")</f>
        <v>-</v>
      </c>
      <c r="P66" s="81" t="str">
        <f>IFERROR(DTE_demand_forecast!P69*Historical_Cost!#REF!,"-")</f>
        <v>-</v>
      </c>
      <c r="Q66" s="81" t="str">
        <f>IFERROR(DTE_demand_forecast!Q69*Historical_Cost!#REF!,"-")</f>
        <v>-</v>
      </c>
      <c r="R66" s="81" t="str">
        <f>IFERROR(DTE_demand_forecast!R69*Historical_Cost!#REF!,"-")</f>
        <v>-</v>
      </c>
      <c r="S66" s="81" t="str">
        <f>IFERROR(DTE_demand_forecast!S69*Historical_Cost!#REF!,"-")</f>
        <v>-</v>
      </c>
      <c r="T66" s="81" t="str">
        <f>IFERROR(DTE_demand_forecast!T69*Historical_Cost!#REF!,"-")</f>
        <v>-</v>
      </c>
      <c r="U66" s="81" t="str">
        <f>IFERROR(DTE_demand_forecast!U69*Historical_Cost!#REF!,"-")</f>
        <v>-</v>
      </c>
      <c r="V66" s="81" t="str">
        <f>IFERROR(DTE_demand_forecast!V69*Historical_Cost!#REF!,"-")</f>
        <v>-</v>
      </c>
    </row>
    <row r="67" spans="1:22" x14ac:dyDescent="0.3">
      <c r="A67" s="526"/>
      <c r="B67" s="34" t="s">
        <v>84</v>
      </c>
      <c r="C67" s="128">
        <f t="shared" ref="C67:V67" si="3">SUM(C59:C66)</f>
        <v>0</v>
      </c>
      <c r="D67" s="128">
        <f t="shared" si="3"/>
        <v>0</v>
      </c>
      <c r="E67" s="128">
        <f t="shared" si="3"/>
        <v>0</v>
      </c>
      <c r="F67" s="128">
        <f t="shared" si="3"/>
        <v>0</v>
      </c>
      <c r="G67" s="128">
        <f t="shared" si="3"/>
        <v>0</v>
      </c>
      <c r="H67" s="128">
        <f t="shared" si="3"/>
        <v>0</v>
      </c>
      <c r="I67" s="128">
        <f t="shared" si="3"/>
        <v>0</v>
      </c>
      <c r="J67" s="128">
        <f t="shared" si="3"/>
        <v>0</v>
      </c>
      <c r="K67" s="128">
        <f t="shared" si="3"/>
        <v>0</v>
      </c>
      <c r="L67" s="128">
        <f t="shared" si="3"/>
        <v>0</v>
      </c>
      <c r="M67" s="128">
        <f t="shared" si="3"/>
        <v>0</v>
      </c>
      <c r="N67" s="128">
        <f t="shared" si="3"/>
        <v>0</v>
      </c>
      <c r="O67" s="128">
        <f t="shared" si="3"/>
        <v>0</v>
      </c>
      <c r="P67" s="128">
        <f t="shared" si="3"/>
        <v>0</v>
      </c>
      <c r="Q67" s="128">
        <f t="shared" si="3"/>
        <v>0</v>
      </c>
      <c r="R67" s="128">
        <f t="shared" si="3"/>
        <v>0</v>
      </c>
      <c r="S67" s="128">
        <f t="shared" si="3"/>
        <v>0</v>
      </c>
      <c r="T67" s="128">
        <f t="shared" si="3"/>
        <v>0</v>
      </c>
      <c r="U67" s="128">
        <f t="shared" si="3"/>
        <v>0</v>
      </c>
      <c r="V67" s="128">
        <f t="shared" si="3"/>
        <v>0</v>
      </c>
    </row>
    <row r="68" spans="1:22" x14ac:dyDescent="0.3">
      <c r="A68" s="526"/>
      <c r="B68" s="129"/>
      <c r="C68" s="130"/>
      <c r="D68" s="130"/>
      <c r="E68" s="130"/>
      <c r="F68" s="130"/>
      <c r="G68" s="130"/>
      <c r="H68" s="130"/>
      <c r="I68" s="130"/>
      <c r="J68" s="130"/>
      <c r="K68" s="130"/>
      <c r="L68" s="130"/>
      <c r="M68" s="130"/>
      <c r="N68" s="130"/>
      <c r="O68" s="130"/>
      <c r="P68" s="130"/>
      <c r="Q68" s="130"/>
      <c r="R68" s="130"/>
      <c r="S68" s="130"/>
      <c r="T68" s="130"/>
      <c r="U68" s="130"/>
      <c r="V68" s="130"/>
    </row>
    <row r="69" spans="1:22" x14ac:dyDescent="0.3">
      <c r="A69" s="526"/>
      <c r="B69" s="129"/>
      <c r="C69" s="130"/>
      <c r="D69" s="130"/>
      <c r="E69" s="130"/>
      <c r="F69" s="130"/>
      <c r="G69" s="130"/>
      <c r="H69" s="130"/>
      <c r="I69" s="130"/>
      <c r="J69" s="130"/>
      <c r="K69" s="130"/>
      <c r="L69" s="130"/>
      <c r="M69" s="130"/>
      <c r="N69" s="130"/>
      <c r="O69" s="130"/>
      <c r="P69" s="130"/>
      <c r="Q69" s="130"/>
      <c r="R69" s="130"/>
      <c r="S69" s="130"/>
      <c r="T69" s="130"/>
      <c r="U69" s="130"/>
      <c r="V69" s="130"/>
    </row>
    <row r="70" spans="1:22" x14ac:dyDescent="0.3">
      <c r="A70" s="526"/>
      <c r="B70" s="129"/>
      <c r="C70" s="130"/>
      <c r="D70" s="130"/>
      <c r="E70" s="130"/>
      <c r="F70" s="130"/>
      <c r="G70" s="130"/>
      <c r="H70" s="130"/>
      <c r="I70" s="130"/>
      <c r="J70" s="130"/>
      <c r="K70" s="130"/>
      <c r="L70" s="130"/>
      <c r="M70" s="130"/>
      <c r="N70" s="130"/>
      <c r="O70" s="130"/>
      <c r="P70" s="130"/>
      <c r="Q70" s="130"/>
      <c r="R70" s="130"/>
      <c r="S70" s="130"/>
      <c r="T70" s="130"/>
      <c r="U70" s="130"/>
      <c r="V70" s="130"/>
    </row>
    <row r="71" spans="1:22" x14ac:dyDescent="0.3">
      <c r="A71" s="526"/>
      <c r="B71" s="129"/>
      <c r="C71" s="130"/>
      <c r="D71" s="130"/>
      <c r="E71" s="130"/>
      <c r="F71" s="130"/>
      <c r="G71" s="130"/>
      <c r="H71" s="130"/>
      <c r="I71" s="130"/>
      <c r="J71" s="130"/>
      <c r="K71" s="130"/>
      <c r="L71" s="130"/>
      <c r="M71" s="130"/>
      <c r="N71" s="130"/>
      <c r="O71" s="130"/>
      <c r="P71" s="130"/>
      <c r="Q71" s="130"/>
      <c r="R71" s="130"/>
      <c r="S71" s="130"/>
      <c r="T71" s="130"/>
      <c r="U71" s="130"/>
      <c r="V71" s="130"/>
    </row>
    <row r="72" spans="1:22" x14ac:dyDescent="0.3">
      <c r="A72" s="526"/>
      <c r="B72" s="129"/>
      <c r="C72" s="130"/>
      <c r="D72" s="130"/>
      <c r="E72" s="130"/>
      <c r="F72" s="130"/>
      <c r="G72" s="130"/>
      <c r="H72" s="130"/>
      <c r="I72" s="130"/>
      <c r="J72" s="130"/>
      <c r="K72" s="130"/>
      <c r="L72" s="130"/>
      <c r="M72" s="130"/>
      <c r="N72" s="130"/>
      <c r="O72" s="130"/>
      <c r="P72" s="130"/>
      <c r="Q72" s="130"/>
      <c r="R72" s="130"/>
      <c r="S72" s="130"/>
      <c r="T72" s="130"/>
      <c r="U72" s="130"/>
      <c r="V72" s="130"/>
    </row>
    <row r="73" spans="1:22" x14ac:dyDescent="0.3">
      <c r="A73" s="526"/>
    </row>
    <row r="74" spans="1:22" x14ac:dyDescent="0.3">
      <c r="A74" s="526"/>
    </row>
    <row r="75" spans="1:22" x14ac:dyDescent="0.3">
      <c r="A75" s="526"/>
      <c r="B75" s="35" t="s">
        <v>163</v>
      </c>
      <c r="L75" s="20"/>
      <c r="M75" s="20"/>
    </row>
    <row r="76" spans="1:22" x14ac:dyDescent="0.3">
      <c r="A76" s="526"/>
      <c r="B76" s="78" t="s">
        <v>82</v>
      </c>
      <c r="C76" s="78">
        <v>2021</v>
      </c>
      <c r="D76" s="79">
        <v>2022</v>
      </c>
      <c r="E76" s="78">
        <v>2023</v>
      </c>
      <c r="F76" s="79">
        <v>2024</v>
      </c>
      <c r="G76" s="78">
        <v>2025</v>
      </c>
      <c r="H76" s="79">
        <v>2026</v>
      </c>
      <c r="I76" s="78">
        <v>2027</v>
      </c>
      <c r="J76" s="79">
        <v>2028</v>
      </c>
      <c r="K76" s="78">
        <v>2029</v>
      </c>
      <c r="L76" s="79">
        <v>2030</v>
      </c>
      <c r="M76" s="78">
        <v>2031</v>
      </c>
      <c r="N76" s="79">
        <v>2032</v>
      </c>
      <c r="O76" s="78">
        <v>2033</v>
      </c>
      <c r="P76" s="79">
        <v>2034</v>
      </c>
      <c r="Q76" s="78">
        <v>2035</v>
      </c>
      <c r="R76" s="79">
        <v>2036</v>
      </c>
      <c r="S76" s="78">
        <v>2037</v>
      </c>
      <c r="T76" s="79">
        <v>2038</v>
      </c>
      <c r="U76" s="78">
        <v>2039</v>
      </c>
      <c r="V76" s="79">
        <v>2040</v>
      </c>
    </row>
    <row r="77" spans="1:22" x14ac:dyDescent="0.3">
      <c r="A77" s="526"/>
      <c r="B77" s="33" t="s">
        <v>43</v>
      </c>
      <c r="C77" s="81" t="str">
        <f>IFERROR(DTE_demand_forecast!C141*Historical_Cost!#REF!,"-")</f>
        <v>-</v>
      </c>
      <c r="D77" s="81" t="str">
        <f>IFERROR(DTE_demand_forecast!D141*Historical_Cost!#REF!,"-")</f>
        <v>-</v>
      </c>
      <c r="E77" s="81" t="str">
        <f>IFERROR(DTE_demand_forecast!E141*Historical_Cost!#REF!,"-")</f>
        <v>-</v>
      </c>
      <c r="F77" s="81" t="str">
        <f>IFERROR(DTE_demand_forecast!F141*Historical_Cost!#REF!,"-")</f>
        <v>-</v>
      </c>
      <c r="G77" s="81" t="str">
        <f>IFERROR(DTE_demand_forecast!G141*Historical_Cost!#REF!,"-")</f>
        <v>-</v>
      </c>
      <c r="H77" s="81" t="str">
        <f>IFERROR(DTE_demand_forecast!H141*Historical_Cost!#REF!,"-")</f>
        <v>-</v>
      </c>
      <c r="I77" s="81" t="str">
        <f>IFERROR(DTE_demand_forecast!I141*Historical_Cost!#REF!,"-")</f>
        <v>-</v>
      </c>
      <c r="J77" s="81" t="str">
        <f>IFERROR(DTE_demand_forecast!J141*Historical_Cost!#REF!,"-")</f>
        <v>-</v>
      </c>
      <c r="K77" s="81" t="str">
        <f>IFERROR(DTE_demand_forecast!K141*Historical_Cost!#REF!,"-")</f>
        <v>-</v>
      </c>
      <c r="L77" s="81" t="str">
        <f>IFERROR(DTE_demand_forecast!L141*Historical_Cost!#REF!,"-")</f>
        <v>-</v>
      </c>
      <c r="M77" s="81" t="str">
        <f>IFERROR(DTE_demand_forecast!M141*Historical_Cost!#REF!,"-")</f>
        <v>-</v>
      </c>
      <c r="N77" s="81" t="str">
        <f>IFERROR(DTE_demand_forecast!N141*Historical_Cost!#REF!,"-")</f>
        <v>-</v>
      </c>
      <c r="O77" s="81" t="str">
        <f>IFERROR(DTE_demand_forecast!O141*Historical_Cost!#REF!,"-")</f>
        <v>-</v>
      </c>
      <c r="P77" s="81" t="str">
        <f>IFERROR(DTE_demand_forecast!P141*Historical_Cost!#REF!,"-")</f>
        <v>-</v>
      </c>
      <c r="Q77" s="81" t="str">
        <f>IFERROR(DTE_demand_forecast!Q141*Historical_Cost!#REF!,"-")</f>
        <v>-</v>
      </c>
      <c r="R77" s="81" t="str">
        <f>IFERROR(DTE_demand_forecast!R141*Historical_Cost!#REF!,"-")</f>
        <v>-</v>
      </c>
      <c r="S77" s="81" t="str">
        <f>IFERROR(DTE_demand_forecast!S141*Historical_Cost!#REF!,"-")</f>
        <v>-</v>
      </c>
      <c r="T77" s="81" t="str">
        <f>IFERROR(DTE_demand_forecast!T141*Historical_Cost!#REF!,"-")</f>
        <v>-</v>
      </c>
      <c r="U77" s="81" t="str">
        <f>IFERROR(DTE_demand_forecast!U141*Historical_Cost!#REF!,"-")</f>
        <v>-</v>
      </c>
      <c r="V77" s="81" t="str">
        <f>IFERROR(DTE_demand_forecast!V141*Historical_Cost!#REF!,"-")</f>
        <v>-</v>
      </c>
    </row>
    <row r="78" spans="1:22" x14ac:dyDescent="0.3">
      <c r="A78" s="526"/>
      <c r="B78" s="33" t="s">
        <v>41</v>
      </c>
      <c r="C78" s="81" t="str">
        <f>IFERROR(DTE_demand_forecast!C142*Historical_Cost!#REF!,"-")</f>
        <v>-</v>
      </c>
      <c r="D78" s="81" t="str">
        <f>IFERROR(DTE_demand_forecast!D142*Historical_Cost!#REF!,"-")</f>
        <v>-</v>
      </c>
      <c r="E78" s="81" t="str">
        <f>IFERROR(DTE_demand_forecast!E142*Historical_Cost!#REF!,"-")</f>
        <v>-</v>
      </c>
      <c r="F78" s="81" t="str">
        <f>IFERROR(DTE_demand_forecast!F142*Historical_Cost!#REF!,"-")</f>
        <v>-</v>
      </c>
      <c r="G78" s="81" t="str">
        <f>IFERROR(DTE_demand_forecast!G142*Historical_Cost!#REF!,"-")</f>
        <v>-</v>
      </c>
      <c r="H78" s="81" t="str">
        <f>IFERROR(DTE_demand_forecast!H142*Historical_Cost!#REF!,"-")</f>
        <v>-</v>
      </c>
      <c r="I78" s="81" t="str">
        <f>IFERROR(DTE_demand_forecast!I142*Historical_Cost!#REF!,"-")</f>
        <v>-</v>
      </c>
      <c r="J78" s="81" t="str">
        <f>IFERROR(DTE_demand_forecast!J142*Historical_Cost!#REF!,"-")</f>
        <v>-</v>
      </c>
      <c r="K78" s="81" t="str">
        <f>IFERROR(DTE_demand_forecast!K142*Historical_Cost!#REF!,"-")</f>
        <v>-</v>
      </c>
      <c r="L78" s="81" t="str">
        <f>IFERROR(DTE_demand_forecast!L142*Historical_Cost!#REF!,"-")</f>
        <v>-</v>
      </c>
      <c r="M78" s="81" t="str">
        <f>IFERROR(DTE_demand_forecast!M142*Historical_Cost!#REF!,"-")</f>
        <v>-</v>
      </c>
      <c r="N78" s="81" t="str">
        <f>IFERROR(DTE_demand_forecast!N142*Historical_Cost!#REF!,"-")</f>
        <v>-</v>
      </c>
      <c r="O78" s="81" t="str">
        <f>IFERROR(DTE_demand_forecast!O142*Historical_Cost!#REF!,"-")</f>
        <v>-</v>
      </c>
      <c r="P78" s="81" t="str">
        <f>IFERROR(DTE_demand_forecast!P142*Historical_Cost!#REF!,"-")</f>
        <v>-</v>
      </c>
      <c r="Q78" s="81" t="str">
        <f>IFERROR(DTE_demand_forecast!Q142*Historical_Cost!#REF!,"-")</f>
        <v>-</v>
      </c>
      <c r="R78" s="81" t="str">
        <f>IFERROR(DTE_demand_forecast!R142*Historical_Cost!#REF!,"-")</f>
        <v>-</v>
      </c>
      <c r="S78" s="81" t="str">
        <f>IFERROR(DTE_demand_forecast!S142*Historical_Cost!#REF!,"-")</f>
        <v>-</v>
      </c>
      <c r="T78" s="81" t="str">
        <f>IFERROR(DTE_demand_forecast!T142*Historical_Cost!#REF!,"-")</f>
        <v>-</v>
      </c>
      <c r="U78" s="81" t="str">
        <f>IFERROR(DTE_demand_forecast!U142*Historical_Cost!#REF!,"-")</f>
        <v>-</v>
      </c>
      <c r="V78" s="81" t="str">
        <f>IFERROR(DTE_demand_forecast!V142*Historical_Cost!#REF!,"-")</f>
        <v>-</v>
      </c>
    </row>
    <row r="79" spans="1:22" x14ac:dyDescent="0.3">
      <c r="A79" s="526"/>
      <c r="B79" s="33" t="s">
        <v>40</v>
      </c>
      <c r="C79" s="81" t="str">
        <f>IFERROR(DTE_demand_forecast!C143*Historical_Cost!#REF!,"-")</f>
        <v>-</v>
      </c>
      <c r="D79" s="81" t="str">
        <f>IFERROR(DTE_demand_forecast!D143*Historical_Cost!#REF!,"-")</f>
        <v>-</v>
      </c>
      <c r="E79" s="81" t="str">
        <f>IFERROR(DTE_demand_forecast!E143*Historical_Cost!#REF!,"-")</f>
        <v>-</v>
      </c>
      <c r="F79" s="81" t="str">
        <f>IFERROR(DTE_demand_forecast!F143*Historical_Cost!#REF!,"-")</f>
        <v>-</v>
      </c>
      <c r="G79" s="81" t="str">
        <f>IFERROR(DTE_demand_forecast!G143*Historical_Cost!#REF!,"-")</f>
        <v>-</v>
      </c>
      <c r="H79" s="81" t="str">
        <f>IFERROR(DTE_demand_forecast!H143*Historical_Cost!#REF!,"-")</f>
        <v>-</v>
      </c>
      <c r="I79" s="81" t="str">
        <f>IFERROR(DTE_demand_forecast!I143*Historical_Cost!#REF!,"-")</f>
        <v>-</v>
      </c>
      <c r="J79" s="81" t="str">
        <f>IFERROR(DTE_demand_forecast!J143*Historical_Cost!#REF!,"-")</f>
        <v>-</v>
      </c>
      <c r="K79" s="81" t="str">
        <f>IFERROR(DTE_demand_forecast!K143*Historical_Cost!#REF!,"-")</f>
        <v>-</v>
      </c>
      <c r="L79" s="81" t="str">
        <f>IFERROR(DTE_demand_forecast!L143*Historical_Cost!#REF!,"-")</f>
        <v>-</v>
      </c>
      <c r="M79" s="81" t="str">
        <f>IFERROR(DTE_demand_forecast!M143*Historical_Cost!#REF!,"-")</f>
        <v>-</v>
      </c>
      <c r="N79" s="81" t="str">
        <f>IFERROR(DTE_demand_forecast!N143*Historical_Cost!#REF!,"-")</f>
        <v>-</v>
      </c>
      <c r="O79" s="81" t="str">
        <f>IFERROR(DTE_demand_forecast!O143*Historical_Cost!#REF!,"-")</f>
        <v>-</v>
      </c>
      <c r="P79" s="81" t="str">
        <f>IFERROR(DTE_demand_forecast!P143*Historical_Cost!#REF!,"-")</f>
        <v>-</v>
      </c>
      <c r="Q79" s="81" t="str">
        <f>IFERROR(DTE_demand_forecast!Q143*Historical_Cost!#REF!,"-")</f>
        <v>-</v>
      </c>
      <c r="R79" s="81" t="str">
        <f>IFERROR(DTE_demand_forecast!R143*Historical_Cost!#REF!,"-")</f>
        <v>-</v>
      </c>
      <c r="S79" s="81" t="str">
        <f>IFERROR(DTE_demand_forecast!S143*Historical_Cost!#REF!,"-")</f>
        <v>-</v>
      </c>
      <c r="T79" s="81" t="str">
        <f>IFERROR(DTE_demand_forecast!T143*Historical_Cost!#REF!,"-")</f>
        <v>-</v>
      </c>
      <c r="U79" s="81" t="str">
        <f>IFERROR(DTE_demand_forecast!U143*Historical_Cost!#REF!,"-")</f>
        <v>-</v>
      </c>
      <c r="V79" s="81" t="str">
        <f>IFERROR(DTE_demand_forecast!V143*Historical_Cost!#REF!,"-")</f>
        <v>-</v>
      </c>
    </row>
    <row r="80" spans="1:22" x14ac:dyDescent="0.3">
      <c r="A80" s="526"/>
      <c r="B80" s="33" t="s">
        <v>80</v>
      </c>
      <c r="C80" s="81" t="str">
        <f>IFERROR(DTE_demand_forecast!C144*Historical_Cost!#REF!,"-")</f>
        <v>-</v>
      </c>
      <c r="D80" s="81" t="str">
        <f>IFERROR(DTE_demand_forecast!D144*Historical_Cost!#REF!,"-")</f>
        <v>-</v>
      </c>
      <c r="E80" s="81" t="str">
        <f>IFERROR(DTE_demand_forecast!E144*Historical_Cost!#REF!,"-")</f>
        <v>-</v>
      </c>
      <c r="F80" s="81" t="str">
        <f>IFERROR(DTE_demand_forecast!F144*Historical_Cost!#REF!,"-")</f>
        <v>-</v>
      </c>
      <c r="G80" s="81" t="str">
        <f>IFERROR(DTE_demand_forecast!G144*Historical_Cost!#REF!,"-")</f>
        <v>-</v>
      </c>
      <c r="H80" s="81" t="str">
        <f>IFERROR(DTE_demand_forecast!H144*Historical_Cost!#REF!,"-")</f>
        <v>-</v>
      </c>
      <c r="I80" s="81" t="str">
        <f>IFERROR(DTE_demand_forecast!I144*Historical_Cost!#REF!,"-")</f>
        <v>-</v>
      </c>
      <c r="J80" s="81" t="str">
        <f>IFERROR(DTE_demand_forecast!J144*Historical_Cost!#REF!,"-")</f>
        <v>-</v>
      </c>
      <c r="K80" s="81" t="str">
        <f>IFERROR(DTE_demand_forecast!K144*Historical_Cost!#REF!,"-")</f>
        <v>-</v>
      </c>
      <c r="L80" s="81" t="str">
        <f>IFERROR(DTE_demand_forecast!L144*Historical_Cost!#REF!,"-")</f>
        <v>-</v>
      </c>
      <c r="M80" s="81" t="str">
        <f>IFERROR(DTE_demand_forecast!M144*Historical_Cost!#REF!,"-")</f>
        <v>-</v>
      </c>
      <c r="N80" s="81" t="str">
        <f>IFERROR(DTE_demand_forecast!N144*Historical_Cost!#REF!,"-")</f>
        <v>-</v>
      </c>
      <c r="O80" s="81" t="str">
        <f>IFERROR(DTE_demand_forecast!O144*Historical_Cost!#REF!,"-")</f>
        <v>-</v>
      </c>
      <c r="P80" s="81" t="str">
        <f>IFERROR(DTE_demand_forecast!P144*Historical_Cost!#REF!,"-")</f>
        <v>-</v>
      </c>
      <c r="Q80" s="81" t="str">
        <f>IFERROR(DTE_demand_forecast!Q144*Historical_Cost!#REF!,"-")</f>
        <v>-</v>
      </c>
      <c r="R80" s="81" t="str">
        <f>IFERROR(DTE_demand_forecast!R144*Historical_Cost!#REF!,"-")</f>
        <v>-</v>
      </c>
      <c r="S80" s="81" t="str">
        <f>IFERROR(DTE_demand_forecast!S144*Historical_Cost!#REF!,"-")</f>
        <v>-</v>
      </c>
      <c r="T80" s="81" t="str">
        <f>IFERROR(DTE_demand_forecast!T144*Historical_Cost!#REF!,"-")</f>
        <v>-</v>
      </c>
      <c r="U80" s="81" t="str">
        <f>IFERROR(DTE_demand_forecast!U144*Historical_Cost!#REF!,"-")</f>
        <v>-</v>
      </c>
      <c r="V80" s="81" t="str">
        <f>IFERROR(DTE_demand_forecast!V144*Historical_Cost!#REF!,"-")</f>
        <v>-</v>
      </c>
    </row>
    <row r="81" spans="1:22" x14ac:dyDescent="0.3">
      <c r="A81" s="526"/>
      <c r="B81" s="33" t="s">
        <v>44</v>
      </c>
      <c r="C81" s="81" t="str">
        <f>IFERROR(DTE_demand_forecast!C145*Historical_Cost!#REF!,"-")</f>
        <v>-</v>
      </c>
      <c r="D81" s="81" t="str">
        <f>IFERROR(DTE_demand_forecast!D145*Historical_Cost!#REF!,"-")</f>
        <v>-</v>
      </c>
      <c r="E81" s="81" t="str">
        <f>IFERROR(DTE_demand_forecast!E145*Historical_Cost!#REF!,"-")</f>
        <v>-</v>
      </c>
      <c r="F81" s="81" t="str">
        <f>IFERROR(DTE_demand_forecast!F145*Historical_Cost!#REF!,"-")</f>
        <v>-</v>
      </c>
      <c r="G81" s="81" t="str">
        <f>IFERROR(DTE_demand_forecast!G145*Historical_Cost!#REF!,"-")</f>
        <v>-</v>
      </c>
      <c r="H81" s="81" t="str">
        <f>IFERROR(DTE_demand_forecast!H145*Historical_Cost!#REF!,"-")</f>
        <v>-</v>
      </c>
      <c r="I81" s="81" t="str">
        <f>IFERROR(DTE_demand_forecast!I145*Historical_Cost!#REF!,"-")</f>
        <v>-</v>
      </c>
      <c r="J81" s="81" t="str">
        <f>IFERROR(DTE_demand_forecast!J145*Historical_Cost!#REF!,"-")</f>
        <v>-</v>
      </c>
      <c r="K81" s="81" t="str">
        <f>IFERROR(DTE_demand_forecast!K145*Historical_Cost!#REF!,"-")</f>
        <v>-</v>
      </c>
      <c r="L81" s="81" t="str">
        <f>IFERROR(DTE_demand_forecast!L145*Historical_Cost!#REF!,"-")</f>
        <v>-</v>
      </c>
      <c r="M81" s="81" t="str">
        <f>IFERROR(DTE_demand_forecast!M145*Historical_Cost!#REF!,"-")</f>
        <v>-</v>
      </c>
      <c r="N81" s="81" t="str">
        <f>IFERROR(DTE_demand_forecast!N145*Historical_Cost!#REF!,"-")</f>
        <v>-</v>
      </c>
      <c r="O81" s="81" t="str">
        <f>IFERROR(DTE_demand_forecast!O145*Historical_Cost!#REF!,"-")</f>
        <v>-</v>
      </c>
      <c r="P81" s="81" t="str">
        <f>IFERROR(DTE_demand_forecast!P145*Historical_Cost!#REF!,"-")</f>
        <v>-</v>
      </c>
      <c r="Q81" s="81" t="str">
        <f>IFERROR(DTE_demand_forecast!Q145*Historical_Cost!#REF!,"-")</f>
        <v>-</v>
      </c>
      <c r="R81" s="81" t="str">
        <f>IFERROR(DTE_demand_forecast!R145*Historical_Cost!#REF!,"-")</f>
        <v>-</v>
      </c>
      <c r="S81" s="81" t="str">
        <f>IFERROR(DTE_demand_forecast!S145*Historical_Cost!#REF!,"-")</f>
        <v>-</v>
      </c>
      <c r="T81" s="81" t="str">
        <f>IFERROR(DTE_demand_forecast!T145*Historical_Cost!#REF!,"-")</f>
        <v>-</v>
      </c>
      <c r="U81" s="81" t="str">
        <f>IFERROR(DTE_demand_forecast!U145*Historical_Cost!#REF!,"-")</f>
        <v>-</v>
      </c>
      <c r="V81" s="81" t="str">
        <f>IFERROR(DTE_demand_forecast!V145*Historical_Cost!#REF!,"-")</f>
        <v>-</v>
      </c>
    </row>
    <row r="82" spans="1:22" x14ac:dyDescent="0.3">
      <c r="A82" s="526"/>
      <c r="B82" s="33" t="s">
        <v>81</v>
      </c>
      <c r="C82" s="81" t="str">
        <f>IFERROR(DTE_demand_forecast!C146*Historical_Cost!#REF!,"-")</f>
        <v>-</v>
      </c>
      <c r="D82" s="81" t="str">
        <f>IFERROR(DTE_demand_forecast!D146*Historical_Cost!#REF!,"-")</f>
        <v>-</v>
      </c>
      <c r="E82" s="81" t="str">
        <f>IFERROR(DTE_demand_forecast!E146*Historical_Cost!#REF!,"-")</f>
        <v>-</v>
      </c>
      <c r="F82" s="81" t="str">
        <f>IFERROR(DTE_demand_forecast!F146*Historical_Cost!#REF!,"-")</f>
        <v>-</v>
      </c>
      <c r="G82" s="81" t="str">
        <f>IFERROR(DTE_demand_forecast!G146*Historical_Cost!#REF!,"-")</f>
        <v>-</v>
      </c>
      <c r="H82" s="81" t="str">
        <f>IFERROR(DTE_demand_forecast!H146*Historical_Cost!#REF!,"-")</f>
        <v>-</v>
      </c>
      <c r="I82" s="81" t="str">
        <f>IFERROR(DTE_demand_forecast!I146*Historical_Cost!#REF!,"-")</f>
        <v>-</v>
      </c>
      <c r="J82" s="81" t="str">
        <f>IFERROR(DTE_demand_forecast!J146*Historical_Cost!#REF!,"-")</f>
        <v>-</v>
      </c>
      <c r="K82" s="81" t="str">
        <f>IFERROR(DTE_demand_forecast!K146*Historical_Cost!#REF!,"-")</f>
        <v>-</v>
      </c>
      <c r="L82" s="81" t="str">
        <f>IFERROR(DTE_demand_forecast!L146*Historical_Cost!#REF!,"-")</f>
        <v>-</v>
      </c>
      <c r="M82" s="81" t="str">
        <f>IFERROR(DTE_demand_forecast!M146*Historical_Cost!#REF!,"-")</f>
        <v>-</v>
      </c>
      <c r="N82" s="81" t="str">
        <f>IFERROR(DTE_demand_forecast!N146*Historical_Cost!#REF!,"-")</f>
        <v>-</v>
      </c>
      <c r="O82" s="81" t="str">
        <f>IFERROR(DTE_demand_forecast!O146*Historical_Cost!#REF!,"-")</f>
        <v>-</v>
      </c>
      <c r="P82" s="81" t="str">
        <f>IFERROR(DTE_demand_forecast!P146*Historical_Cost!#REF!,"-")</f>
        <v>-</v>
      </c>
      <c r="Q82" s="81" t="str">
        <f>IFERROR(DTE_demand_forecast!Q146*Historical_Cost!#REF!,"-")</f>
        <v>-</v>
      </c>
      <c r="R82" s="81" t="str">
        <f>IFERROR(DTE_demand_forecast!R146*Historical_Cost!#REF!,"-")</f>
        <v>-</v>
      </c>
      <c r="S82" s="81" t="str">
        <f>IFERROR(DTE_demand_forecast!S146*Historical_Cost!#REF!,"-")</f>
        <v>-</v>
      </c>
      <c r="T82" s="81" t="str">
        <f>IFERROR(DTE_demand_forecast!T146*Historical_Cost!#REF!,"-")</f>
        <v>-</v>
      </c>
      <c r="U82" s="81" t="str">
        <f>IFERROR(DTE_demand_forecast!U146*Historical_Cost!#REF!,"-")</f>
        <v>-</v>
      </c>
      <c r="V82" s="81" t="str">
        <f>IFERROR(DTE_demand_forecast!V146*Historical_Cost!#REF!,"-")</f>
        <v>-</v>
      </c>
    </row>
    <row r="83" spans="1:22" x14ac:dyDescent="0.3">
      <c r="A83" s="526"/>
      <c r="B83" s="33" t="s">
        <v>42</v>
      </c>
      <c r="C83" s="81" t="str">
        <f>IFERROR(DTE_demand_forecast!C147*Historical_Cost!#REF!,"-")</f>
        <v>-</v>
      </c>
      <c r="D83" s="81" t="str">
        <f>IFERROR(DTE_demand_forecast!D147*Historical_Cost!#REF!,"-")</f>
        <v>-</v>
      </c>
      <c r="E83" s="81" t="str">
        <f>IFERROR(DTE_demand_forecast!E147*Historical_Cost!#REF!,"-")</f>
        <v>-</v>
      </c>
      <c r="F83" s="81" t="str">
        <f>IFERROR(DTE_demand_forecast!F147*Historical_Cost!#REF!,"-")</f>
        <v>-</v>
      </c>
      <c r="G83" s="81" t="str">
        <f>IFERROR(DTE_demand_forecast!G147*Historical_Cost!#REF!,"-")</f>
        <v>-</v>
      </c>
      <c r="H83" s="81" t="str">
        <f>IFERROR(DTE_demand_forecast!H147*Historical_Cost!#REF!,"-")</f>
        <v>-</v>
      </c>
      <c r="I83" s="81" t="str">
        <f>IFERROR(DTE_demand_forecast!I147*Historical_Cost!#REF!,"-")</f>
        <v>-</v>
      </c>
      <c r="J83" s="81" t="str">
        <f>IFERROR(DTE_demand_forecast!J147*Historical_Cost!#REF!,"-")</f>
        <v>-</v>
      </c>
      <c r="K83" s="81" t="str">
        <f>IFERROR(DTE_demand_forecast!K147*Historical_Cost!#REF!,"-")</f>
        <v>-</v>
      </c>
      <c r="L83" s="81" t="str">
        <f>IFERROR(DTE_demand_forecast!L147*Historical_Cost!#REF!,"-")</f>
        <v>-</v>
      </c>
      <c r="M83" s="81" t="str">
        <f>IFERROR(DTE_demand_forecast!M147*Historical_Cost!#REF!,"-")</f>
        <v>-</v>
      </c>
      <c r="N83" s="81" t="str">
        <f>IFERROR(DTE_demand_forecast!N147*Historical_Cost!#REF!,"-")</f>
        <v>-</v>
      </c>
      <c r="O83" s="81" t="str">
        <f>IFERROR(DTE_demand_forecast!O147*Historical_Cost!#REF!,"-")</f>
        <v>-</v>
      </c>
      <c r="P83" s="81" t="str">
        <f>IFERROR(DTE_demand_forecast!P147*Historical_Cost!#REF!,"-")</f>
        <v>-</v>
      </c>
      <c r="Q83" s="81" t="str">
        <f>IFERROR(DTE_demand_forecast!Q147*Historical_Cost!#REF!,"-")</f>
        <v>-</v>
      </c>
      <c r="R83" s="81" t="str">
        <f>IFERROR(DTE_demand_forecast!R147*Historical_Cost!#REF!,"-")</f>
        <v>-</v>
      </c>
      <c r="S83" s="81" t="str">
        <f>IFERROR(DTE_demand_forecast!S147*Historical_Cost!#REF!,"-")</f>
        <v>-</v>
      </c>
      <c r="T83" s="81" t="str">
        <f>IFERROR(DTE_demand_forecast!T147*Historical_Cost!#REF!,"-")</f>
        <v>-</v>
      </c>
      <c r="U83" s="81" t="str">
        <f>IFERROR(DTE_demand_forecast!U147*Historical_Cost!#REF!,"-")</f>
        <v>-</v>
      </c>
      <c r="V83" s="81" t="str">
        <f>IFERROR(DTE_demand_forecast!V147*Historical_Cost!#REF!,"-")</f>
        <v>-</v>
      </c>
    </row>
    <row r="84" spans="1:22" x14ac:dyDescent="0.3">
      <c r="A84" s="526"/>
      <c r="B84" s="33" t="s">
        <v>45</v>
      </c>
      <c r="C84" s="81" t="str">
        <f>IFERROR(DTE_demand_forecast!C148*Historical_Cost!#REF!,"-")</f>
        <v>-</v>
      </c>
      <c r="D84" s="81" t="str">
        <f>IFERROR(DTE_demand_forecast!D148*Historical_Cost!#REF!,"-")</f>
        <v>-</v>
      </c>
      <c r="E84" s="81" t="str">
        <f>IFERROR(DTE_demand_forecast!E148*Historical_Cost!#REF!,"-")</f>
        <v>-</v>
      </c>
      <c r="F84" s="81" t="str">
        <f>IFERROR(DTE_demand_forecast!F148*Historical_Cost!#REF!,"-")</f>
        <v>-</v>
      </c>
      <c r="G84" s="81" t="str">
        <f>IFERROR(DTE_demand_forecast!G148*Historical_Cost!#REF!,"-")</f>
        <v>-</v>
      </c>
      <c r="H84" s="81" t="str">
        <f>IFERROR(DTE_demand_forecast!H148*Historical_Cost!#REF!,"-")</f>
        <v>-</v>
      </c>
      <c r="I84" s="81" t="str">
        <f>IFERROR(DTE_demand_forecast!I148*Historical_Cost!#REF!,"-")</f>
        <v>-</v>
      </c>
      <c r="J84" s="81" t="str">
        <f>IFERROR(DTE_demand_forecast!J148*Historical_Cost!#REF!,"-")</f>
        <v>-</v>
      </c>
      <c r="K84" s="81" t="str">
        <f>IFERROR(DTE_demand_forecast!K148*Historical_Cost!#REF!,"-")</f>
        <v>-</v>
      </c>
      <c r="L84" s="81" t="str">
        <f>IFERROR(DTE_demand_forecast!L148*Historical_Cost!#REF!,"-")</f>
        <v>-</v>
      </c>
      <c r="M84" s="81" t="str">
        <f>IFERROR(DTE_demand_forecast!M148*Historical_Cost!#REF!,"-")</f>
        <v>-</v>
      </c>
      <c r="N84" s="81" t="str">
        <f>IFERROR(DTE_demand_forecast!N148*Historical_Cost!#REF!,"-")</f>
        <v>-</v>
      </c>
      <c r="O84" s="81" t="str">
        <f>IFERROR(DTE_demand_forecast!O148*Historical_Cost!#REF!,"-")</f>
        <v>-</v>
      </c>
      <c r="P84" s="81" t="str">
        <f>IFERROR(DTE_demand_forecast!P148*Historical_Cost!#REF!,"-")</f>
        <v>-</v>
      </c>
      <c r="Q84" s="81" t="str">
        <f>IFERROR(DTE_demand_forecast!Q148*Historical_Cost!#REF!,"-")</f>
        <v>-</v>
      </c>
      <c r="R84" s="81" t="str">
        <f>IFERROR(DTE_demand_forecast!R148*Historical_Cost!#REF!,"-")</f>
        <v>-</v>
      </c>
      <c r="S84" s="81" t="str">
        <f>IFERROR(DTE_demand_forecast!S148*Historical_Cost!#REF!,"-")</f>
        <v>-</v>
      </c>
      <c r="T84" s="81" t="str">
        <f>IFERROR(DTE_demand_forecast!T148*Historical_Cost!#REF!,"-")</f>
        <v>-</v>
      </c>
      <c r="U84" s="81" t="str">
        <f>IFERROR(DTE_demand_forecast!U148*Historical_Cost!#REF!,"-")</f>
        <v>-</v>
      </c>
      <c r="V84" s="81" t="str">
        <f>IFERROR(DTE_demand_forecast!V148*Historical_Cost!#REF!,"-")</f>
        <v>-</v>
      </c>
    </row>
    <row r="85" spans="1:22" x14ac:dyDescent="0.3">
      <c r="A85" s="526"/>
      <c r="B85" s="33" t="s">
        <v>84</v>
      </c>
      <c r="C85" s="128">
        <f t="shared" ref="C85:V85" si="4">SUM(C77:C84)</f>
        <v>0</v>
      </c>
      <c r="D85" s="128">
        <f t="shared" si="4"/>
        <v>0</v>
      </c>
      <c r="E85" s="128">
        <f t="shared" si="4"/>
        <v>0</v>
      </c>
      <c r="F85" s="128">
        <f t="shared" si="4"/>
        <v>0</v>
      </c>
      <c r="G85" s="128">
        <f t="shared" si="4"/>
        <v>0</v>
      </c>
      <c r="H85" s="128">
        <f t="shared" si="4"/>
        <v>0</v>
      </c>
      <c r="I85" s="128">
        <f t="shared" si="4"/>
        <v>0</v>
      </c>
      <c r="J85" s="128">
        <f t="shared" si="4"/>
        <v>0</v>
      </c>
      <c r="K85" s="128">
        <f t="shared" si="4"/>
        <v>0</v>
      </c>
      <c r="L85" s="128">
        <f t="shared" si="4"/>
        <v>0</v>
      </c>
      <c r="M85" s="128">
        <f t="shared" si="4"/>
        <v>0</v>
      </c>
      <c r="N85" s="128">
        <f t="shared" si="4"/>
        <v>0</v>
      </c>
      <c r="O85" s="128">
        <f t="shared" si="4"/>
        <v>0</v>
      </c>
      <c r="P85" s="128">
        <f t="shared" si="4"/>
        <v>0</v>
      </c>
      <c r="Q85" s="128">
        <f t="shared" si="4"/>
        <v>0</v>
      </c>
      <c r="R85" s="128">
        <f t="shared" si="4"/>
        <v>0</v>
      </c>
      <c r="S85" s="128">
        <f t="shared" si="4"/>
        <v>0</v>
      </c>
      <c r="T85" s="128">
        <f t="shared" si="4"/>
        <v>0</v>
      </c>
      <c r="U85" s="128">
        <f t="shared" si="4"/>
        <v>0</v>
      </c>
      <c r="V85" s="128">
        <f t="shared" si="4"/>
        <v>0</v>
      </c>
    </row>
    <row r="86" spans="1:22" x14ac:dyDescent="0.3">
      <c r="A86" s="526"/>
    </row>
    <row r="87" spans="1:22" x14ac:dyDescent="0.3">
      <c r="A87" s="526"/>
    </row>
    <row r="88" spans="1:22" x14ac:dyDescent="0.3">
      <c r="A88" s="526"/>
    </row>
    <row r="89" spans="1:22" x14ac:dyDescent="0.3">
      <c r="A89" s="526"/>
    </row>
    <row r="90" spans="1:22" x14ac:dyDescent="0.3">
      <c r="A90" s="526"/>
    </row>
    <row r="91" spans="1:22" x14ac:dyDescent="0.3">
      <c r="A91" s="526"/>
    </row>
    <row r="92" spans="1:22" x14ac:dyDescent="0.3">
      <c r="A92" s="526"/>
    </row>
    <row r="93" spans="1:22" x14ac:dyDescent="0.3">
      <c r="A93" s="526"/>
      <c r="B93" s="35" t="s">
        <v>164</v>
      </c>
      <c r="L93" s="20"/>
      <c r="M93" s="20"/>
    </row>
    <row r="94" spans="1:22" x14ac:dyDescent="0.3">
      <c r="A94" s="526"/>
      <c r="B94" s="78" t="s">
        <v>82</v>
      </c>
      <c r="C94" s="78">
        <v>2021</v>
      </c>
      <c r="D94" s="79">
        <v>2022</v>
      </c>
      <c r="E94" s="78">
        <v>2023</v>
      </c>
      <c r="F94" s="79">
        <v>2024</v>
      </c>
      <c r="G94" s="78">
        <v>2025</v>
      </c>
      <c r="H94" s="79">
        <v>2026</v>
      </c>
      <c r="I94" s="78">
        <v>2027</v>
      </c>
      <c r="J94" s="79">
        <v>2028</v>
      </c>
      <c r="K94" s="78">
        <v>2029</v>
      </c>
      <c r="L94" s="79">
        <v>2030</v>
      </c>
      <c r="M94" s="78">
        <v>2031</v>
      </c>
      <c r="N94" s="79">
        <v>2032</v>
      </c>
      <c r="O94" s="78">
        <v>2033</v>
      </c>
      <c r="P94" s="79">
        <v>2034</v>
      </c>
      <c r="Q94" s="78">
        <v>2035</v>
      </c>
      <c r="R94" s="79">
        <v>2036</v>
      </c>
      <c r="S94" s="78">
        <v>2037</v>
      </c>
      <c r="T94" s="79">
        <v>2038</v>
      </c>
      <c r="U94" s="78">
        <v>2039</v>
      </c>
      <c r="V94" s="79">
        <v>2040</v>
      </c>
    </row>
    <row r="95" spans="1:22" x14ac:dyDescent="0.3">
      <c r="A95" s="526"/>
      <c r="B95" s="33" t="s">
        <v>43</v>
      </c>
      <c r="C95" s="81" t="str">
        <f>IFERROR(DTE_demand_forecast!C220*Historical_Cost!#REF!,"-")</f>
        <v>-</v>
      </c>
      <c r="D95" s="81" t="str">
        <f>IFERROR(DTE_demand_forecast!D220*Historical_Cost!#REF!,"-")</f>
        <v>-</v>
      </c>
      <c r="E95" s="81" t="str">
        <f>IFERROR(DTE_demand_forecast!E220*Historical_Cost!#REF!,"-")</f>
        <v>-</v>
      </c>
      <c r="F95" s="81" t="str">
        <f>IFERROR(DTE_demand_forecast!F220*Historical_Cost!#REF!,"-")</f>
        <v>-</v>
      </c>
      <c r="G95" s="81" t="str">
        <f>IFERROR(DTE_demand_forecast!G220*Historical_Cost!#REF!,"-")</f>
        <v>-</v>
      </c>
      <c r="H95" s="81" t="str">
        <f>IFERROR(DTE_demand_forecast!H220*Historical_Cost!#REF!,"-")</f>
        <v>-</v>
      </c>
      <c r="I95" s="81" t="str">
        <f>IFERROR(DTE_demand_forecast!I220*Historical_Cost!#REF!,"-")</f>
        <v>-</v>
      </c>
      <c r="J95" s="81" t="str">
        <f>IFERROR(DTE_demand_forecast!J220*Historical_Cost!#REF!,"-")</f>
        <v>-</v>
      </c>
      <c r="K95" s="81" t="str">
        <f>IFERROR(DTE_demand_forecast!K220*Historical_Cost!#REF!,"-")</f>
        <v>-</v>
      </c>
      <c r="L95" s="81" t="str">
        <f>IFERROR(DTE_demand_forecast!L220*Historical_Cost!#REF!,"-")</f>
        <v>-</v>
      </c>
      <c r="M95" s="81" t="str">
        <f>IFERROR(DTE_demand_forecast!M220*Historical_Cost!#REF!,"-")</f>
        <v>-</v>
      </c>
      <c r="N95" s="81" t="str">
        <f>IFERROR(DTE_demand_forecast!N220*Historical_Cost!#REF!,"-")</f>
        <v>-</v>
      </c>
      <c r="O95" s="81" t="str">
        <f>IFERROR(DTE_demand_forecast!O220*Historical_Cost!#REF!,"-")</f>
        <v>-</v>
      </c>
      <c r="P95" s="81" t="str">
        <f>IFERROR(DTE_demand_forecast!P220*Historical_Cost!#REF!,"-")</f>
        <v>-</v>
      </c>
      <c r="Q95" s="81" t="str">
        <f>IFERROR(DTE_demand_forecast!Q220*Historical_Cost!#REF!,"-")</f>
        <v>-</v>
      </c>
      <c r="R95" s="81" t="str">
        <f>IFERROR(DTE_demand_forecast!R220*Historical_Cost!#REF!,"-")</f>
        <v>-</v>
      </c>
      <c r="S95" s="81" t="str">
        <f>IFERROR(DTE_demand_forecast!S220*Historical_Cost!#REF!,"-")</f>
        <v>-</v>
      </c>
      <c r="T95" s="81" t="str">
        <f>IFERROR(DTE_demand_forecast!T220*Historical_Cost!#REF!,"-")</f>
        <v>-</v>
      </c>
      <c r="U95" s="81" t="str">
        <f>IFERROR(DTE_demand_forecast!U220*Historical_Cost!#REF!,"-")</f>
        <v>-</v>
      </c>
      <c r="V95" s="81" t="str">
        <f>IFERROR(DTE_demand_forecast!V220*Historical_Cost!#REF!,"-")</f>
        <v>-</v>
      </c>
    </row>
    <row r="96" spans="1:22" x14ac:dyDescent="0.3">
      <c r="A96" s="526"/>
      <c r="B96" s="33" t="s">
        <v>41</v>
      </c>
      <c r="C96" s="81" t="str">
        <f>IFERROR(DTE_demand_forecast!C221*Historical_Cost!#REF!,"-")</f>
        <v>-</v>
      </c>
      <c r="D96" s="81" t="str">
        <f>IFERROR(DTE_demand_forecast!D221*Historical_Cost!#REF!,"-")</f>
        <v>-</v>
      </c>
      <c r="E96" s="81" t="str">
        <f>IFERROR(DTE_demand_forecast!E221*Historical_Cost!#REF!,"-")</f>
        <v>-</v>
      </c>
      <c r="F96" s="81" t="str">
        <f>IFERROR(DTE_demand_forecast!F221*Historical_Cost!#REF!,"-")</f>
        <v>-</v>
      </c>
      <c r="G96" s="81" t="str">
        <f>IFERROR(DTE_demand_forecast!G221*Historical_Cost!#REF!,"-")</f>
        <v>-</v>
      </c>
      <c r="H96" s="81" t="str">
        <f>IFERROR(DTE_demand_forecast!H221*Historical_Cost!#REF!,"-")</f>
        <v>-</v>
      </c>
      <c r="I96" s="81" t="str">
        <f>IFERROR(DTE_demand_forecast!I221*Historical_Cost!#REF!,"-")</f>
        <v>-</v>
      </c>
      <c r="J96" s="81" t="str">
        <f>IFERROR(DTE_demand_forecast!J221*Historical_Cost!#REF!,"-")</f>
        <v>-</v>
      </c>
      <c r="K96" s="81" t="str">
        <f>IFERROR(DTE_demand_forecast!K221*Historical_Cost!#REF!,"-")</f>
        <v>-</v>
      </c>
      <c r="L96" s="81" t="str">
        <f>IFERROR(DTE_demand_forecast!L221*Historical_Cost!#REF!,"-")</f>
        <v>-</v>
      </c>
      <c r="M96" s="81" t="str">
        <f>IFERROR(DTE_demand_forecast!M221*Historical_Cost!#REF!,"-")</f>
        <v>-</v>
      </c>
      <c r="N96" s="81" t="str">
        <f>IFERROR(DTE_demand_forecast!N221*Historical_Cost!#REF!,"-")</f>
        <v>-</v>
      </c>
      <c r="O96" s="81" t="str">
        <f>IFERROR(DTE_demand_forecast!O221*Historical_Cost!#REF!,"-")</f>
        <v>-</v>
      </c>
      <c r="P96" s="81" t="str">
        <f>IFERROR(DTE_demand_forecast!P221*Historical_Cost!#REF!,"-")</f>
        <v>-</v>
      </c>
      <c r="Q96" s="81" t="str">
        <f>IFERROR(DTE_demand_forecast!Q221*Historical_Cost!#REF!,"-")</f>
        <v>-</v>
      </c>
      <c r="R96" s="81" t="str">
        <f>IFERROR(DTE_demand_forecast!R221*Historical_Cost!#REF!,"-")</f>
        <v>-</v>
      </c>
      <c r="S96" s="81" t="str">
        <f>IFERROR(DTE_demand_forecast!S221*Historical_Cost!#REF!,"-")</f>
        <v>-</v>
      </c>
      <c r="T96" s="81" t="str">
        <f>IFERROR(DTE_demand_forecast!T221*Historical_Cost!#REF!,"-")</f>
        <v>-</v>
      </c>
      <c r="U96" s="81" t="str">
        <f>IFERROR(DTE_demand_forecast!U221*Historical_Cost!#REF!,"-")</f>
        <v>-</v>
      </c>
      <c r="V96" s="81" t="str">
        <f>IFERROR(DTE_demand_forecast!V221*Historical_Cost!#REF!,"-")</f>
        <v>-</v>
      </c>
    </row>
    <row r="97" spans="1:22" x14ac:dyDescent="0.3">
      <c r="A97" s="526"/>
      <c r="B97" s="33" t="s">
        <v>40</v>
      </c>
      <c r="C97" s="81" t="str">
        <f>IFERROR(DTE_demand_forecast!C222*Historical_Cost!#REF!,"-")</f>
        <v>-</v>
      </c>
      <c r="D97" s="81" t="str">
        <f>IFERROR(DTE_demand_forecast!D222*Historical_Cost!#REF!,"-")</f>
        <v>-</v>
      </c>
      <c r="E97" s="81" t="str">
        <f>IFERROR(DTE_demand_forecast!E222*Historical_Cost!#REF!,"-")</f>
        <v>-</v>
      </c>
      <c r="F97" s="81" t="str">
        <f>IFERROR(DTE_demand_forecast!F222*Historical_Cost!#REF!,"-")</f>
        <v>-</v>
      </c>
      <c r="G97" s="81" t="str">
        <f>IFERROR(DTE_demand_forecast!G222*Historical_Cost!#REF!,"-")</f>
        <v>-</v>
      </c>
      <c r="H97" s="81" t="str">
        <f>IFERROR(DTE_demand_forecast!H222*Historical_Cost!#REF!,"-")</f>
        <v>-</v>
      </c>
      <c r="I97" s="81" t="str">
        <f>IFERROR(DTE_demand_forecast!I222*Historical_Cost!#REF!,"-")</f>
        <v>-</v>
      </c>
      <c r="J97" s="81" t="str">
        <f>IFERROR(DTE_demand_forecast!J222*Historical_Cost!#REF!,"-")</f>
        <v>-</v>
      </c>
      <c r="K97" s="81" t="str">
        <f>IFERROR(DTE_demand_forecast!K222*Historical_Cost!#REF!,"-")</f>
        <v>-</v>
      </c>
      <c r="L97" s="81" t="str">
        <f>IFERROR(DTE_demand_forecast!L222*Historical_Cost!#REF!,"-")</f>
        <v>-</v>
      </c>
      <c r="M97" s="81" t="str">
        <f>IFERROR(DTE_demand_forecast!M222*Historical_Cost!#REF!,"-")</f>
        <v>-</v>
      </c>
      <c r="N97" s="81" t="str">
        <f>IFERROR(DTE_demand_forecast!N222*Historical_Cost!#REF!,"-")</f>
        <v>-</v>
      </c>
      <c r="O97" s="81" t="str">
        <f>IFERROR(DTE_demand_forecast!O222*Historical_Cost!#REF!,"-")</f>
        <v>-</v>
      </c>
      <c r="P97" s="81" t="str">
        <f>IFERROR(DTE_demand_forecast!P222*Historical_Cost!#REF!,"-")</f>
        <v>-</v>
      </c>
      <c r="Q97" s="81" t="str">
        <f>IFERROR(DTE_demand_forecast!Q222*Historical_Cost!#REF!,"-")</f>
        <v>-</v>
      </c>
      <c r="R97" s="81" t="str">
        <f>IFERROR(DTE_demand_forecast!R222*Historical_Cost!#REF!,"-")</f>
        <v>-</v>
      </c>
      <c r="S97" s="81" t="str">
        <f>IFERROR(DTE_demand_forecast!S222*Historical_Cost!#REF!,"-")</f>
        <v>-</v>
      </c>
      <c r="T97" s="81" t="str">
        <f>IFERROR(DTE_demand_forecast!T222*Historical_Cost!#REF!,"-")</f>
        <v>-</v>
      </c>
      <c r="U97" s="81" t="str">
        <f>IFERROR(DTE_demand_forecast!U222*Historical_Cost!#REF!,"-")</f>
        <v>-</v>
      </c>
      <c r="V97" s="81" t="str">
        <f>IFERROR(DTE_demand_forecast!V222*Historical_Cost!#REF!,"-")</f>
        <v>-</v>
      </c>
    </row>
    <row r="98" spans="1:22" x14ac:dyDescent="0.3">
      <c r="A98" s="526"/>
      <c r="B98" s="33" t="s">
        <v>80</v>
      </c>
      <c r="C98" s="81" t="str">
        <f>IFERROR(DTE_demand_forecast!C223*Historical_Cost!#REF!,"-")</f>
        <v>-</v>
      </c>
      <c r="D98" s="81" t="str">
        <f>IFERROR(DTE_demand_forecast!D223*Historical_Cost!#REF!,"-")</f>
        <v>-</v>
      </c>
      <c r="E98" s="81" t="str">
        <f>IFERROR(DTE_demand_forecast!E223*Historical_Cost!#REF!,"-")</f>
        <v>-</v>
      </c>
      <c r="F98" s="81" t="str">
        <f>IFERROR(DTE_demand_forecast!F223*Historical_Cost!#REF!,"-")</f>
        <v>-</v>
      </c>
      <c r="G98" s="81" t="str">
        <f>IFERROR(DTE_demand_forecast!G223*Historical_Cost!#REF!,"-")</f>
        <v>-</v>
      </c>
      <c r="H98" s="81" t="str">
        <f>IFERROR(DTE_demand_forecast!H223*Historical_Cost!#REF!,"-")</f>
        <v>-</v>
      </c>
      <c r="I98" s="81" t="str">
        <f>IFERROR(DTE_demand_forecast!I223*Historical_Cost!#REF!,"-")</f>
        <v>-</v>
      </c>
      <c r="J98" s="81" t="str">
        <f>IFERROR(DTE_demand_forecast!J223*Historical_Cost!#REF!,"-")</f>
        <v>-</v>
      </c>
      <c r="K98" s="81" t="str">
        <f>IFERROR(DTE_demand_forecast!K223*Historical_Cost!#REF!,"-")</f>
        <v>-</v>
      </c>
      <c r="L98" s="81" t="str">
        <f>IFERROR(DTE_demand_forecast!L223*Historical_Cost!#REF!,"-")</f>
        <v>-</v>
      </c>
      <c r="M98" s="81" t="str">
        <f>IFERROR(DTE_demand_forecast!M223*Historical_Cost!#REF!,"-")</f>
        <v>-</v>
      </c>
      <c r="N98" s="81" t="str">
        <f>IFERROR(DTE_demand_forecast!N223*Historical_Cost!#REF!,"-")</f>
        <v>-</v>
      </c>
      <c r="O98" s="81" t="str">
        <f>IFERROR(DTE_demand_forecast!O223*Historical_Cost!#REF!,"-")</f>
        <v>-</v>
      </c>
      <c r="P98" s="81" t="str">
        <f>IFERROR(DTE_demand_forecast!P223*Historical_Cost!#REF!,"-")</f>
        <v>-</v>
      </c>
      <c r="Q98" s="81" t="str">
        <f>IFERROR(DTE_demand_forecast!Q223*Historical_Cost!#REF!,"-")</f>
        <v>-</v>
      </c>
      <c r="R98" s="81" t="str">
        <f>IFERROR(DTE_demand_forecast!R223*Historical_Cost!#REF!,"-")</f>
        <v>-</v>
      </c>
      <c r="S98" s="81" t="str">
        <f>IFERROR(DTE_demand_forecast!S223*Historical_Cost!#REF!,"-")</f>
        <v>-</v>
      </c>
      <c r="T98" s="81" t="str">
        <f>IFERROR(DTE_demand_forecast!T223*Historical_Cost!#REF!,"-")</f>
        <v>-</v>
      </c>
      <c r="U98" s="81" t="str">
        <f>IFERROR(DTE_demand_forecast!U223*Historical_Cost!#REF!,"-")</f>
        <v>-</v>
      </c>
      <c r="V98" s="81" t="str">
        <f>IFERROR(DTE_demand_forecast!V223*Historical_Cost!#REF!,"-")</f>
        <v>-</v>
      </c>
    </row>
    <row r="99" spans="1:22" x14ac:dyDescent="0.3">
      <c r="A99" s="526"/>
      <c r="B99" s="33" t="s">
        <v>44</v>
      </c>
      <c r="C99" s="81" t="str">
        <f>IFERROR(DTE_demand_forecast!C224*Historical_Cost!#REF!,"-")</f>
        <v>-</v>
      </c>
      <c r="D99" s="81" t="str">
        <f>IFERROR(DTE_demand_forecast!D224*Historical_Cost!#REF!,"-")</f>
        <v>-</v>
      </c>
      <c r="E99" s="81" t="str">
        <f>IFERROR(DTE_demand_forecast!E224*Historical_Cost!#REF!,"-")</f>
        <v>-</v>
      </c>
      <c r="F99" s="81" t="str">
        <f>IFERROR(DTE_demand_forecast!F224*Historical_Cost!#REF!,"-")</f>
        <v>-</v>
      </c>
      <c r="G99" s="81" t="str">
        <f>IFERROR(DTE_demand_forecast!G224*Historical_Cost!#REF!,"-")</f>
        <v>-</v>
      </c>
      <c r="H99" s="81" t="str">
        <f>IFERROR(DTE_demand_forecast!H224*Historical_Cost!#REF!,"-")</f>
        <v>-</v>
      </c>
      <c r="I99" s="81" t="str">
        <f>IFERROR(DTE_demand_forecast!I224*Historical_Cost!#REF!,"-")</f>
        <v>-</v>
      </c>
      <c r="J99" s="81" t="str">
        <f>IFERROR(DTE_demand_forecast!J224*Historical_Cost!#REF!,"-")</f>
        <v>-</v>
      </c>
      <c r="K99" s="81" t="str">
        <f>IFERROR(DTE_demand_forecast!K224*Historical_Cost!#REF!,"-")</f>
        <v>-</v>
      </c>
      <c r="L99" s="81" t="str">
        <f>IFERROR(DTE_demand_forecast!L224*Historical_Cost!#REF!,"-")</f>
        <v>-</v>
      </c>
      <c r="M99" s="81" t="str">
        <f>IFERROR(DTE_demand_forecast!M224*Historical_Cost!#REF!,"-")</f>
        <v>-</v>
      </c>
      <c r="N99" s="81" t="str">
        <f>IFERROR(DTE_demand_forecast!N224*Historical_Cost!#REF!,"-")</f>
        <v>-</v>
      </c>
      <c r="O99" s="81" t="str">
        <f>IFERROR(DTE_demand_forecast!O224*Historical_Cost!#REF!,"-")</f>
        <v>-</v>
      </c>
      <c r="P99" s="81" t="str">
        <f>IFERROR(DTE_demand_forecast!P224*Historical_Cost!#REF!,"-")</f>
        <v>-</v>
      </c>
      <c r="Q99" s="81" t="str">
        <f>IFERROR(DTE_demand_forecast!Q224*Historical_Cost!#REF!,"-")</f>
        <v>-</v>
      </c>
      <c r="R99" s="81" t="str">
        <f>IFERROR(DTE_demand_forecast!R224*Historical_Cost!#REF!,"-")</f>
        <v>-</v>
      </c>
      <c r="S99" s="81" t="str">
        <f>IFERROR(DTE_demand_forecast!S224*Historical_Cost!#REF!,"-")</f>
        <v>-</v>
      </c>
      <c r="T99" s="81" t="str">
        <f>IFERROR(DTE_demand_forecast!T224*Historical_Cost!#REF!,"-")</f>
        <v>-</v>
      </c>
      <c r="U99" s="81" t="str">
        <f>IFERROR(DTE_demand_forecast!U224*Historical_Cost!#REF!,"-")</f>
        <v>-</v>
      </c>
      <c r="V99" s="81" t="str">
        <f>IFERROR(DTE_demand_forecast!V224*Historical_Cost!#REF!,"-")</f>
        <v>-</v>
      </c>
    </row>
    <row r="100" spans="1:22" x14ac:dyDescent="0.3">
      <c r="A100" s="526"/>
      <c r="B100" s="33" t="s">
        <v>81</v>
      </c>
      <c r="C100" s="81" t="str">
        <f>IFERROR(DTE_demand_forecast!C225*Historical_Cost!#REF!,"-")</f>
        <v>-</v>
      </c>
      <c r="D100" s="81" t="str">
        <f>IFERROR(DTE_demand_forecast!D225*Historical_Cost!#REF!,"-")</f>
        <v>-</v>
      </c>
      <c r="E100" s="81" t="str">
        <f>IFERROR(DTE_demand_forecast!E225*Historical_Cost!#REF!,"-")</f>
        <v>-</v>
      </c>
      <c r="F100" s="81" t="str">
        <f>IFERROR(DTE_demand_forecast!F225*Historical_Cost!#REF!,"-")</f>
        <v>-</v>
      </c>
      <c r="G100" s="81" t="str">
        <f>IFERROR(DTE_demand_forecast!G225*Historical_Cost!#REF!,"-")</f>
        <v>-</v>
      </c>
      <c r="H100" s="81" t="str">
        <f>IFERROR(DTE_demand_forecast!H225*Historical_Cost!#REF!,"-")</f>
        <v>-</v>
      </c>
      <c r="I100" s="81" t="str">
        <f>IFERROR(DTE_demand_forecast!I225*Historical_Cost!#REF!,"-")</f>
        <v>-</v>
      </c>
      <c r="J100" s="81" t="str">
        <f>IFERROR(DTE_demand_forecast!J225*Historical_Cost!#REF!,"-")</f>
        <v>-</v>
      </c>
      <c r="K100" s="81" t="str">
        <f>IFERROR(DTE_demand_forecast!K225*Historical_Cost!#REF!,"-")</f>
        <v>-</v>
      </c>
      <c r="L100" s="81" t="str">
        <f>IFERROR(DTE_demand_forecast!L225*Historical_Cost!#REF!,"-")</f>
        <v>-</v>
      </c>
      <c r="M100" s="81" t="str">
        <f>IFERROR(DTE_demand_forecast!M225*Historical_Cost!#REF!,"-")</f>
        <v>-</v>
      </c>
      <c r="N100" s="81" t="str">
        <f>IFERROR(DTE_demand_forecast!N225*Historical_Cost!#REF!,"-")</f>
        <v>-</v>
      </c>
      <c r="O100" s="81" t="str">
        <f>IFERROR(DTE_demand_forecast!O225*Historical_Cost!#REF!,"-")</f>
        <v>-</v>
      </c>
      <c r="P100" s="81" t="str">
        <f>IFERROR(DTE_demand_forecast!P225*Historical_Cost!#REF!,"-")</f>
        <v>-</v>
      </c>
      <c r="Q100" s="81" t="str">
        <f>IFERROR(DTE_demand_forecast!Q225*Historical_Cost!#REF!,"-")</f>
        <v>-</v>
      </c>
      <c r="R100" s="81" t="str">
        <f>IFERROR(DTE_demand_forecast!R225*Historical_Cost!#REF!,"-")</f>
        <v>-</v>
      </c>
      <c r="S100" s="81" t="str">
        <f>IFERROR(DTE_demand_forecast!S225*Historical_Cost!#REF!,"-")</f>
        <v>-</v>
      </c>
      <c r="T100" s="81" t="str">
        <f>IFERROR(DTE_demand_forecast!T225*Historical_Cost!#REF!,"-")</f>
        <v>-</v>
      </c>
      <c r="U100" s="81" t="str">
        <f>IFERROR(DTE_demand_forecast!U225*Historical_Cost!#REF!,"-")</f>
        <v>-</v>
      </c>
      <c r="V100" s="81" t="str">
        <f>IFERROR(DTE_demand_forecast!V225*Historical_Cost!#REF!,"-")</f>
        <v>-</v>
      </c>
    </row>
    <row r="101" spans="1:22" x14ac:dyDescent="0.3">
      <c r="A101" s="526"/>
      <c r="B101" s="33" t="s">
        <v>42</v>
      </c>
      <c r="C101" s="81" t="str">
        <f>IFERROR(DTE_demand_forecast!C226*Historical_Cost!#REF!,"-")</f>
        <v>-</v>
      </c>
      <c r="D101" s="81" t="str">
        <f>IFERROR(DTE_demand_forecast!D226*Historical_Cost!#REF!,"-")</f>
        <v>-</v>
      </c>
      <c r="E101" s="81" t="str">
        <f>IFERROR(DTE_demand_forecast!E226*Historical_Cost!#REF!,"-")</f>
        <v>-</v>
      </c>
      <c r="F101" s="81" t="str">
        <f>IFERROR(DTE_demand_forecast!F226*Historical_Cost!#REF!,"-")</f>
        <v>-</v>
      </c>
      <c r="G101" s="81" t="str">
        <f>IFERROR(DTE_demand_forecast!G226*Historical_Cost!#REF!,"-")</f>
        <v>-</v>
      </c>
      <c r="H101" s="81" t="str">
        <f>IFERROR(DTE_demand_forecast!H226*Historical_Cost!#REF!,"-")</f>
        <v>-</v>
      </c>
      <c r="I101" s="81" t="str">
        <f>IFERROR(DTE_demand_forecast!I226*Historical_Cost!#REF!,"-")</f>
        <v>-</v>
      </c>
      <c r="J101" s="81" t="str">
        <f>IFERROR(DTE_demand_forecast!J226*Historical_Cost!#REF!,"-")</f>
        <v>-</v>
      </c>
      <c r="K101" s="81" t="str">
        <f>IFERROR(DTE_demand_forecast!K226*Historical_Cost!#REF!,"-")</f>
        <v>-</v>
      </c>
      <c r="L101" s="81" t="str">
        <f>IFERROR(DTE_demand_forecast!L226*Historical_Cost!#REF!,"-")</f>
        <v>-</v>
      </c>
      <c r="M101" s="81" t="str">
        <f>IFERROR(DTE_demand_forecast!M226*Historical_Cost!#REF!,"-")</f>
        <v>-</v>
      </c>
      <c r="N101" s="81" t="str">
        <f>IFERROR(DTE_demand_forecast!N226*Historical_Cost!#REF!,"-")</f>
        <v>-</v>
      </c>
      <c r="O101" s="81" t="str">
        <f>IFERROR(DTE_demand_forecast!O226*Historical_Cost!#REF!,"-")</f>
        <v>-</v>
      </c>
      <c r="P101" s="81" t="str">
        <f>IFERROR(DTE_demand_forecast!P226*Historical_Cost!#REF!,"-")</f>
        <v>-</v>
      </c>
      <c r="Q101" s="81" t="str">
        <f>IFERROR(DTE_demand_forecast!Q226*Historical_Cost!#REF!,"-")</f>
        <v>-</v>
      </c>
      <c r="R101" s="81" t="str">
        <f>IFERROR(DTE_demand_forecast!R226*Historical_Cost!#REF!,"-")</f>
        <v>-</v>
      </c>
      <c r="S101" s="81" t="str">
        <f>IFERROR(DTE_demand_forecast!S226*Historical_Cost!#REF!,"-")</f>
        <v>-</v>
      </c>
      <c r="T101" s="81" t="str">
        <f>IFERROR(DTE_demand_forecast!T226*Historical_Cost!#REF!,"-")</f>
        <v>-</v>
      </c>
      <c r="U101" s="81" t="str">
        <f>IFERROR(DTE_demand_forecast!U226*Historical_Cost!#REF!,"-")</f>
        <v>-</v>
      </c>
      <c r="V101" s="81" t="str">
        <f>IFERROR(DTE_demand_forecast!V226*Historical_Cost!#REF!,"-")</f>
        <v>-</v>
      </c>
    </row>
    <row r="102" spans="1:22" x14ac:dyDescent="0.3">
      <c r="A102" s="526"/>
      <c r="B102" s="33" t="s">
        <v>45</v>
      </c>
      <c r="C102" s="81" t="str">
        <f>IFERROR(DTE_demand_forecast!C227*Historical_Cost!#REF!,"-")</f>
        <v>-</v>
      </c>
      <c r="D102" s="81" t="str">
        <f>IFERROR(DTE_demand_forecast!D227*Historical_Cost!#REF!,"-")</f>
        <v>-</v>
      </c>
      <c r="E102" s="81" t="str">
        <f>IFERROR(DTE_demand_forecast!E227*Historical_Cost!#REF!,"-")</f>
        <v>-</v>
      </c>
      <c r="F102" s="81" t="str">
        <f>IFERROR(DTE_demand_forecast!F227*Historical_Cost!#REF!,"-")</f>
        <v>-</v>
      </c>
      <c r="G102" s="81" t="str">
        <f>IFERROR(DTE_demand_forecast!G227*Historical_Cost!#REF!,"-")</f>
        <v>-</v>
      </c>
      <c r="H102" s="81" t="str">
        <f>IFERROR(DTE_demand_forecast!H227*Historical_Cost!#REF!,"-")</f>
        <v>-</v>
      </c>
      <c r="I102" s="81" t="str">
        <f>IFERROR(DTE_demand_forecast!I227*Historical_Cost!#REF!,"-")</f>
        <v>-</v>
      </c>
      <c r="J102" s="81" t="str">
        <f>IFERROR(DTE_demand_forecast!J227*Historical_Cost!#REF!,"-")</f>
        <v>-</v>
      </c>
      <c r="K102" s="81" t="str">
        <f>IFERROR(DTE_demand_forecast!K227*Historical_Cost!#REF!,"-")</f>
        <v>-</v>
      </c>
      <c r="L102" s="81" t="str">
        <f>IFERROR(DTE_demand_forecast!L227*Historical_Cost!#REF!,"-")</f>
        <v>-</v>
      </c>
      <c r="M102" s="81" t="str">
        <f>IFERROR(DTE_demand_forecast!M227*Historical_Cost!#REF!,"-")</f>
        <v>-</v>
      </c>
      <c r="N102" s="81" t="str">
        <f>IFERROR(DTE_demand_forecast!N227*Historical_Cost!#REF!,"-")</f>
        <v>-</v>
      </c>
      <c r="O102" s="81" t="str">
        <f>IFERROR(DTE_demand_forecast!O227*Historical_Cost!#REF!,"-")</f>
        <v>-</v>
      </c>
      <c r="P102" s="81" t="str">
        <f>IFERROR(DTE_demand_forecast!P227*Historical_Cost!#REF!,"-")</f>
        <v>-</v>
      </c>
      <c r="Q102" s="81" t="str">
        <f>IFERROR(DTE_demand_forecast!Q227*Historical_Cost!#REF!,"-")</f>
        <v>-</v>
      </c>
      <c r="R102" s="81" t="str">
        <f>IFERROR(DTE_demand_forecast!R227*Historical_Cost!#REF!,"-")</f>
        <v>-</v>
      </c>
      <c r="S102" s="81" t="str">
        <f>IFERROR(DTE_demand_forecast!S227*Historical_Cost!#REF!,"-")</f>
        <v>-</v>
      </c>
      <c r="T102" s="81" t="str">
        <f>IFERROR(DTE_demand_forecast!T227*Historical_Cost!#REF!,"-")</f>
        <v>-</v>
      </c>
      <c r="U102" s="81" t="str">
        <f>IFERROR(DTE_demand_forecast!U227*Historical_Cost!#REF!,"-")</f>
        <v>-</v>
      </c>
      <c r="V102" s="81" t="str">
        <f>IFERROR(DTE_demand_forecast!V227*Historical_Cost!#REF!,"-")</f>
        <v>-</v>
      </c>
    </row>
    <row r="103" spans="1:22" x14ac:dyDescent="0.3">
      <c r="A103" s="526"/>
      <c r="B103" s="33" t="s">
        <v>84</v>
      </c>
      <c r="C103" s="128">
        <f t="shared" ref="C103:V103" si="5">SUM(C95:C102)</f>
        <v>0</v>
      </c>
      <c r="D103" s="128">
        <f t="shared" si="5"/>
        <v>0</v>
      </c>
      <c r="E103" s="128">
        <f t="shared" si="5"/>
        <v>0</v>
      </c>
      <c r="F103" s="128">
        <f t="shared" si="5"/>
        <v>0</v>
      </c>
      <c r="G103" s="128">
        <f t="shared" si="5"/>
        <v>0</v>
      </c>
      <c r="H103" s="128">
        <f t="shared" si="5"/>
        <v>0</v>
      </c>
      <c r="I103" s="128">
        <f t="shared" si="5"/>
        <v>0</v>
      </c>
      <c r="J103" s="128">
        <f t="shared" si="5"/>
        <v>0</v>
      </c>
      <c r="K103" s="128">
        <f t="shared" si="5"/>
        <v>0</v>
      </c>
      <c r="L103" s="128">
        <f t="shared" si="5"/>
        <v>0</v>
      </c>
      <c r="M103" s="128">
        <f t="shared" si="5"/>
        <v>0</v>
      </c>
      <c r="N103" s="128">
        <f t="shared" si="5"/>
        <v>0</v>
      </c>
      <c r="O103" s="128">
        <f t="shared" si="5"/>
        <v>0</v>
      </c>
      <c r="P103" s="128">
        <f t="shared" si="5"/>
        <v>0</v>
      </c>
      <c r="Q103" s="128">
        <f t="shared" si="5"/>
        <v>0</v>
      </c>
      <c r="R103" s="128">
        <f t="shared" si="5"/>
        <v>0</v>
      </c>
      <c r="S103" s="128">
        <f t="shared" si="5"/>
        <v>0</v>
      </c>
      <c r="T103" s="128">
        <f t="shared" si="5"/>
        <v>0</v>
      </c>
      <c r="U103" s="128">
        <f t="shared" si="5"/>
        <v>0</v>
      </c>
      <c r="V103" s="128">
        <f t="shared" si="5"/>
        <v>0</v>
      </c>
    </row>
    <row r="104" spans="1:22" x14ac:dyDescent="0.3">
      <c r="A104" s="526"/>
    </row>
    <row r="105" spans="1:22" x14ac:dyDescent="0.3">
      <c r="A105" s="526"/>
    </row>
    <row r="106" spans="1:22" x14ac:dyDescent="0.3">
      <c r="A106" s="526"/>
    </row>
    <row r="107" spans="1:22" x14ac:dyDescent="0.3">
      <c r="A107" s="526"/>
    </row>
    <row r="108" spans="1:22" x14ac:dyDescent="0.3">
      <c r="A108" s="526"/>
    </row>
    <row r="109" spans="1:22" x14ac:dyDescent="0.3">
      <c r="A109" s="526"/>
    </row>
    <row r="110" spans="1:22" x14ac:dyDescent="0.3">
      <c r="A110" s="526"/>
    </row>
    <row r="111" spans="1:22" x14ac:dyDescent="0.3">
      <c r="A111" s="526"/>
    </row>
    <row r="112" spans="1:22" x14ac:dyDescent="0.3">
      <c r="A112" s="526"/>
    </row>
    <row r="113" spans="1:22" x14ac:dyDescent="0.3">
      <c r="A113" s="525">
        <v>0.6</v>
      </c>
      <c r="B113" s="35" t="s">
        <v>162</v>
      </c>
      <c r="L113" s="20"/>
      <c r="M113" s="20"/>
    </row>
    <row r="114" spans="1:22" x14ac:dyDescent="0.3">
      <c r="A114" s="526"/>
      <c r="B114" s="78" t="s">
        <v>82</v>
      </c>
      <c r="C114" s="78">
        <v>2021</v>
      </c>
      <c r="D114" s="79">
        <v>2022</v>
      </c>
      <c r="E114" s="78">
        <v>2023</v>
      </c>
      <c r="F114" s="79">
        <v>2024</v>
      </c>
      <c r="G114" s="78">
        <v>2025</v>
      </c>
      <c r="H114" s="79">
        <v>2026</v>
      </c>
      <c r="I114" s="78">
        <v>2027</v>
      </c>
      <c r="J114" s="79">
        <v>2028</v>
      </c>
      <c r="K114" s="78">
        <v>2029</v>
      </c>
      <c r="L114" s="79">
        <v>2030</v>
      </c>
      <c r="M114" s="78">
        <v>2031</v>
      </c>
      <c r="N114" s="79">
        <v>2032</v>
      </c>
      <c r="O114" s="78">
        <v>2033</v>
      </c>
      <c r="P114" s="79">
        <v>2034</v>
      </c>
      <c r="Q114" s="78">
        <v>2035</v>
      </c>
      <c r="R114" s="79">
        <v>2036</v>
      </c>
      <c r="S114" s="78">
        <v>2037</v>
      </c>
      <c r="T114" s="79">
        <v>2038</v>
      </c>
      <c r="U114" s="78">
        <v>2039</v>
      </c>
      <c r="V114" s="79">
        <v>2040</v>
      </c>
    </row>
    <row r="115" spans="1:22" x14ac:dyDescent="0.3">
      <c r="A115" s="526"/>
      <c r="B115" s="33" t="s">
        <v>43</v>
      </c>
      <c r="C115" s="81" t="str">
        <f>IFERROR(DTE_demand_forecast!C62*Historical_Cost!#REF!,"-")</f>
        <v>-</v>
      </c>
      <c r="D115" s="81" t="str">
        <f>IFERROR(DTE_demand_forecast!D62*Historical_Cost!#REF!,"-")</f>
        <v>-</v>
      </c>
      <c r="E115" s="81" t="str">
        <f>IFERROR(DTE_demand_forecast!E62*Historical_Cost!#REF!,"-")</f>
        <v>-</v>
      </c>
      <c r="F115" s="81" t="str">
        <f>IFERROR(DTE_demand_forecast!F62*Historical_Cost!#REF!,"-")</f>
        <v>-</v>
      </c>
      <c r="G115" s="81" t="str">
        <f>IFERROR(DTE_demand_forecast!G62*Historical_Cost!#REF!,"-")</f>
        <v>-</v>
      </c>
      <c r="H115" s="81" t="str">
        <f>IFERROR(DTE_demand_forecast!H62*Historical_Cost!#REF!,"-")</f>
        <v>-</v>
      </c>
      <c r="I115" s="81" t="str">
        <f>IFERROR(DTE_demand_forecast!I62*Historical_Cost!#REF!,"-")</f>
        <v>-</v>
      </c>
      <c r="J115" s="81" t="str">
        <f>IFERROR(DTE_demand_forecast!J62*Historical_Cost!#REF!,"-")</f>
        <v>-</v>
      </c>
      <c r="K115" s="81" t="str">
        <f>IFERROR(DTE_demand_forecast!K62*Historical_Cost!#REF!,"-")</f>
        <v>-</v>
      </c>
      <c r="L115" s="81" t="str">
        <f>IFERROR(DTE_demand_forecast!L62*Historical_Cost!#REF!,"-")</f>
        <v>-</v>
      </c>
      <c r="M115" s="81" t="str">
        <f>IFERROR(DTE_demand_forecast!M62*Historical_Cost!#REF!,"-")</f>
        <v>-</v>
      </c>
      <c r="N115" s="81" t="str">
        <f>IFERROR(DTE_demand_forecast!N62*Historical_Cost!#REF!,"-")</f>
        <v>-</v>
      </c>
      <c r="O115" s="81" t="str">
        <f>IFERROR(DTE_demand_forecast!O62*Historical_Cost!#REF!,"-")</f>
        <v>-</v>
      </c>
      <c r="P115" s="81" t="str">
        <f>IFERROR(DTE_demand_forecast!P62*Historical_Cost!#REF!,"-")</f>
        <v>-</v>
      </c>
      <c r="Q115" s="81" t="str">
        <f>IFERROR(DTE_demand_forecast!Q62*Historical_Cost!#REF!,"-")</f>
        <v>-</v>
      </c>
      <c r="R115" s="81" t="str">
        <f>IFERROR(DTE_demand_forecast!R62*Historical_Cost!#REF!,"-")</f>
        <v>-</v>
      </c>
      <c r="S115" s="81" t="str">
        <f>IFERROR(DTE_demand_forecast!S62*Historical_Cost!#REF!,"-")</f>
        <v>-</v>
      </c>
      <c r="T115" s="81" t="str">
        <f>IFERROR(DTE_demand_forecast!T62*Historical_Cost!#REF!,"-")</f>
        <v>-</v>
      </c>
      <c r="U115" s="81" t="str">
        <f>IFERROR(DTE_demand_forecast!U62*Historical_Cost!#REF!,"-")</f>
        <v>-</v>
      </c>
      <c r="V115" s="81" t="str">
        <f>IFERROR(DTE_demand_forecast!V62*Historical_Cost!#REF!,"-")</f>
        <v>-</v>
      </c>
    </row>
    <row r="116" spans="1:22" x14ac:dyDescent="0.3">
      <c r="A116" s="526"/>
      <c r="B116" s="33" t="s">
        <v>41</v>
      </c>
      <c r="C116" s="81" t="str">
        <f>IFERROR(DTE_demand_forecast!C63*Historical_Cost!#REF!,"-")</f>
        <v>-</v>
      </c>
      <c r="D116" s="81" t="str">
        <f>IFERROR(DTE_demand_forecast!D63*Historical_Cost!#REF!,"-")</f>
        <v>-</v>
      </c>
      <c r="E116" s="81" t="str">
        <f>IFERROR(DTE_demand_forecast!E63*Historical_Cost!#REF!,"-")</f>
        <v>-</v>
      </c>
      <c r="F116" s="81" t="str">
        <f>IFERROR(DTE_demand_forecast!F63*Historical_Cost!#REF!,"-")</f>
        <v>-</v>
      </c>
      <c r="G116" s="81" t="str">
        <f>IFERROR(DTE_demand_forecast!G63*Historical_Cost!#REF!,"-")</f>
        <v>-</v>
      </c>
      <c r="H116" s="81" t="str">
        <f>IFERROR(DTE_demand_forecast!H63*Historical_Cost!#REF!,"-")</f>
        <v>-</v>
      </c>
      <c r="I116" s="81" t="str">
        <f>IFERROR(DTE_demand_forecast!I63*Historical_Cost!#REF!,"-")</f>
        <v>-</v>
      </c>
      <c r="J116" s="81" t="str">
        <f>IFERROR(DTE_demand_forecast!J63*Historical_Cost!#REF!,"-")</f>
        <v>-</v>
      </c>
      <c r="K116" s="81" t="str">
        <f>IFERROR(DTE_demand_forecast!K63*Historical_Cost!#REF!,"-")</f>
        <v>-</v>
      </c>
      <c r="L116" s="81" t="str">
        <f>IFERROR(DTE_demand_forecast!L63*Historical_Cost!#REF!,"-")</f>
        <v>-</v>
      </c>
      <c r="M116" s="81" t="str">
        <f>IFERROR(DTE_demand_forecast!M63*Historical_Cost!#REF!,"-")</f>
        <v>-</v>
      </c>
      <c r="N116" s="81" t="str">
        <f>IFERROR(DTE_demand_forecast!N63*Historical_Cost!#REF!,"-")</f>
        <v>-</v>
      </c>
      <c r="O116" s="81" t="str">
        <f>IFERROR(DTE_demand_forecast!O63*Historical_Cost!#REF!,"-")</f>
        <v>-</v>
      </c>
      <c r="P116" s="81" t="str">
        <f>IFERROR(DTE_demand_forecast!P63*Historical_Cost!#REF!,"-")</f>
        <v>-</v>
      </c>
      <c r="Q116" s="81" t="str">
        <f>IFERROR(DTE_demand_forecast!Q63*Historical_Cost!#REF!,"-")</f>
        <v>-</v>
      </c>
      <c r="R116" s="81" t="str">
        <f>IFERROR(DTE_demand_forecast!R63*Historical_Cost!#REF!,"-")</f>
        <v>-</v>
      </c>
      <c r="S116" s="81" t="str">
        <f>IFERROR(DTE_demand_forecast!S63*Historical_Cost!#REF!,"-")</f>
        <v>-</v>
      </c>
      <c r="T116" s="81" t="str">
        <f>IFERROR(DTE_demand_forecast!T63*Historical_Cost!#REF!,"-")</f>
        <v>-</v>
      </c>
      <c r="U116" s="81" t="str">
        <f>IFERROR(DTE_demand_forecast!U63*Historical_Cost!#REF!,"-")</f>
        <v>-</v>
      </c>
      <c r="V116" s="81" t="str">
        <f>IFERROR(DTE_demand_forecast!V63*Historical_Cost!#REF!,"-")</f>
        <v>-</v>
      </c>
    </row>
    <row r="117" spans="1:22" x14ac:dyDescent="0.3">
      <c r="A117" s="526"/>
      <c r="B117" s="33" t="s">
        <v>40</v>
      </c>
      <c r="C117" s="81" t="str">
        <f>IFERROR(DTE_demand_forecast!C64*Historical_Cost!#REF!,"-")</f>
        <v>-</v>
      </c>
      <c r="D117" s="81" t="str">
        <f>IFERROR(DTE_demand_forecast!D64*Historical_Cost!#REF!,"-")</f>
        <v>-</v>
      </c>
      <c r="E117" s="81" t="str">
        <f>IFERROR(DTE_demand_forecast!E64*Historical_Cost!#REF!,"-")</f>
        <v>-</v>
      </c>
      <c r="F117" s="81" t="str">
        <f>IFERROR(DTE_demand_forecast!F64*Historical_Cost!#REF!,"-")</f>
        <v>-</v>
      </c>
      <c r="G117" s="81" t="str">
        <f>IFERROR(DTE_demand_forecast!G64*Historical_Cost!#REF!,"-")</f>
        <v>-</v>
      </c>
      <c r="H117" s="81" t="str">
        <f>IFERROR(DTE_demand_forecast!H64*Historical_Cost!#REF!,"-")</f>
        <v>-</v>
      </c>
      <c r="I117" s="81" t="str">
        <f>IFERROR(DTE_demand_forecast!I64*Historical_Cost!#REF!,"-")</f>
        <v>-</v>
      </c>
      <c r="J117" s="81" t="str">
        <f>IFERROR(DTE_demand_forecast!J64*Historical_Cost!#REF!,"-")</f>
        <v>-</v>
      </c>
      <c r="K117" s="81" t="str">
        <f>IFERROR(DTE_demand_forecast!K64*Historical_Cost!#REF!,"-")</f>
        <v>-</v>
      </c>
      <c r="L117" s="81" t="str">
        <f>IFERROR(DTE_demand_forecast!L64*Historical_Cost!#REF!,"-")</f>
        <v>-</v>
      </c>
      <c r="M117" s="81" t="str">
        <f>IFERROR(DTE_demand_forecast!M64*Historical_Cost!#REF!,"-")</f>
        <v>-</v>
      </c>
      <c r="N117" s="81" t="str">
        <f>IFERROR(DTE_demand_forecast!N64*Historical_Cost!#REF!,"-")</f>
        <v>-</v>
      </c>
      <c r="O117" s="81" t="str">
        <f>IFERROR(DTE_demand_forecast!O64*Historical_Cost!#REF!,"-")</f>
        <v>-</v>
      </c>
      <c r="P117" s="81" t="str">
        <f>IFERROR(DTE_demand_forecast!P64*Historical_Cost!#REF!,"-")</f>
        <v>-</v>
      </c>
      <c r="Q117" s="81" t="str">
        <f>IFERROR(DTE_demand_forecast!Q64*Historical_Cost!#REF!,"-")</f>
        <v>-</v>
      </c>
      <c r="R117" s="81" t="str">
        <f>IFERROR(DTE_demand_forecast!R64*Historical_Cost!#REF!,"-")</f>
        <v>-</v>
      </c>
      <c r="S117" s="81" t="str">
        <f>IFERROR(DTE_demand_forecast!S64*Historical_Cost!#REF!,"-")</f>
        <v>-</v>
      </c>
      <c r="T117" s="81" t="str">
        <f>IFERROR(DTE_demand_forecast!T64*Historical_Cost!#REF!,"-")</f>
        <v>-</v>
      </c>
      <c r="U117" s="81" t="str">
        <f>IFERROR(DTE_demand_forecast!U64*Historical_Cost!#REF!,"-")</f>
        <v>-</v>
      </c>
      <c r="V117" s="81" t="str">
        <f>IFERROR(DTE_demand_forecast!V64*Historical_Cost!#REF!,"-")</f>
        <v>-</v>
      </c>
    </row>
    <row r="118" spans="1:22" x14ac:dyDescent="0.3">
      <c r="A118" s="526"/>
      <c r="B118" s="33" t="s">
        <v>80</v>
      </c>
      <c r="C118" s="81" t="str">
        <f>IFERROR(DTE_demand_forecast!C65*Historical_Cost!#REF!,"-")</f>
        <v>-</v>
      </c>
      <c r="D118" s="81" t="str">
        <f>IFERROR(DTE_demand_forecast!D65*Historical_Cost!#REF!,"-")</f>
        <v>-</v>
      </c>
      <c r="E118" s="81" t="str">
        <f>IFERROR(DTE_demand_forecast!E65*Historical_Cost!#REF!,"-")</f>
        <v>-</v>
      </c>
      <c r="F118" s="81" t="str">
        <f>IFERROR(DTE_demand_forecast!F65*Historical_Cost!#REF!,"-")</f>
        <v>-</v>
      </c>
      <c r="G118" s="81" t="str">
        <f>IFERROR(DTE_demand_forecast!G65*Historical_Cost!#REF!,"-")</f>
        <v>-</v>
      </c>
      <c r="H118" s="81" t="str">
        <f>IFERROR(DTE_demand_forecast!H65*Historical_Cost!#REF!,"-")</f>
        <v>-</v>
      </c>
      <c r="I118" s="81" t="str">
        <f>IFERROR(DTE_demand_forecast!I65*Historical_Cost!#REF!,"-")</f>
        <v>-</v>
      </c>
      <c r="J118" s="81" t="str">
        <f>IFERROR(DTE_demand_forecast!J65*Historical_Cost!#REF!,"-")</f>
        <v>-</v>
      </c>
      <c r="K118" s="81" t="str">
        <f>IFERROR(DTE_demand_forecast!K65*Historical_Cost!#REF!,"-")</f>
        <v>-</v>
      </c>
      <c r="L118" s="81" t="str">
        <f>IFERROR(DTE_demand_forecast!L65*Historical_Cost!#REF!,"-")</f>
        <v>-</v>
      </c>
      <c r="M118" s="81" t="str">
        <f>IFERROR(DTE_demand_forecast!M65*Historical_Cost!#REF!,"-")</f>
        <v>-</v>
      </c>
      <c r="N118" s="81" t="str">
        <f>IFERROR(DTE_demand_forecast!N65*Historical_Cost!#REF!,"-")</f>
        <v>-</v>
      </c>
      <c r="O118" s="81" t="str">
        <f>IFERROR(DTE_demand_forecast!O65*Historical_Cost!#REF!,"-")</f>
        <v>-</v>
      </c>
      <c r="P118" s="81" t="str">
        <f>IFERROR(DTE_demand_forecast!P65*Historical_Cost!#REF!,"-")</f>
        <v>-</v>
      </c>
      <c r="Q118" s="81" t="str">
        <f>IFERROR(DTE_demand_forecast!Q65*Historical_Cost!#REF!,"-")</f>
        <v>-</v>
      </c>
      <c r="R118" s="81" t="str">
        <f>IFERROR(DTE_demand_forecast!R65*Historical_Cost!#REF!,"-")</f>
        <v>-</v>
      </c>
      <c r="S118" s="81" t="str">
        <f>IFERROR(DTE_demand_forecast!S65*Historical_Cost!#REF!,"-")</f>
        <v>-</v>
      </c>
      <c r="T118" s="81" t="str">
        <f>IFERROR(DTE_demand_forecast!T65*Historical_Cost!#REF!,"-")</f>
        <v>-</v>
      </c>
      <c r="U118" s="81" t="str">
        <f>IFERROR(DTE_demand_forecast!U65*Historical_Cost!#REF!,"-")</f>
        <v>-</v>
      </c>
      <c r="V118" s="81" t="str">
        <f>IFERROR(DTE_demand_forecast!V65*Historical_Cost!#REF!,"-")</f>
        <v>-</v>
      </c>
    </row>
    <row r="119" spans="1:22" x14ac:dyDescent="0.3">
      <c r="A119" s="526"/>
      <c r="B119" s="33" t="s">
        <v>44</v>
      </c>
      <c r="C119" s="81" t="str">
        <f>IFERROR(DTE_demand_forecast!C66*Historical_Cost!#REF!,"-")</f>
        <v>-</v>
      </c>
      <c r="D119" s="81" t="str">
        <f>IFERROR(DTE_demand_forecast!D66*Historical_Cost!#REF!,"-")</f>
        <v>-</v>
      </c>
      <c r="E119" s="81" t="str">
        <f>IFERROR(DTE_demand_forecast!E66*Historical_Cost!#REF!,"-")</f>
        <v>-</v>
      </c>
      <c r="F119" s="81" t="str">
        <f>IFERROR(DTE_demand_forecast!F66*Historical_Cost!#REF!,"-")</f>
        <v>-</v>
      </c>
      <c r="G119" s="81" t="str">
        <f>IFERROR(DTE_demand_forecast!G66*Historical_Cost!#REF!,"-")</f>
        <v>-</v>
      </c>
      <c r="H119" s="81" t="str">
        <f>IFERROR(DTE_demand_forecast!H66*Historical_Cost!#REF!,"-")</f>
        <v>-</v>
      </c>
      <c r="I119" s="81" t="str">
        <f>IFERROR(DTE_demand_forecast!I66*Historical_Cost!#REF!,"-")</f>
        <v>-</v>
      </c>
      <c r="J119" s="81" t="str">
        <f>IFERROR(DTE_demand_forecast!J66*Historical_Cost!#REF!,"-")</f>
        <v>-</v>
      </c>
      <c r="K119" s="81" t="str">
        <f>IFERROR(DTE_demand_forecast!K66*Historical_Cost!#REF!,"-")</f>
        <v>-</v>
      </c>
      <c r="L119" s="81" t="str">
        <f>IFERROR(DTE_demand_forecast!L66*Historical_Cost!#REF!,"-")</f>
        <v>-</v>
      </c>
      <c r="M119" s="81" t="str">
        <f>IFERROR(DTE_demand_forecast!M66*Historical_Cost!#REF!,"-")</f>
        <v>-</v>
      </c>
      <c r="N119" s="81" t="str">
        <f>IFERROR(DTE_demand_forecast!N66*Historical_Cost!#REF!,"-")</f>
        <v>-</v>
      </c>
      <c r="O119" s="81" t="str">
        <f>IFERROR(DTE_demand_forecast!O66*Historical_Cost!#REF!,"-")</f>
        <v>-</v>
      </c>
      <c r="P119" s="81" t="str">
        <f>IFERROR(DTE_demand_forecast!P66*Historical_Cost!#REF!,"-")</f>
        <v>-</v>
      </c>
      <c r="Q119" s="81" t="str">
        <f>IFERROR(DTE_demand_forecast!Q66*Historical_Cost!#REF!,"-")</f>
        <v>-</v>
      </c>
      <c r="R119" s="81" t="str">
        <f>IFERROR(DTE_demand_forecast!R66*Historical_Cost!#REF!,"-")</f>
        <v>-</v>
      </c>
      <c r="S119" s="81" t="str">
        <f>IFERROR(DTE_demand_forecast!S66*Historical_Cost!#REF!,"-")</f>
        <v>-</v>
      </c>
      <c r="T119" s="81" t="str">
        <f>IFERROR(DTE_demand_forecast!T66*Historical_Cost!#REF!,"-")</f>
        <v>-</v>
      </c>
      <c r="U119" s="81" t="str">
        <f>IFERROR(DTE_demand_forecast!U66*Historical_Cost!#REF!,"-")</f>
        <v>-</v>
      </c>
      <c r="V119" s="81" t="str">
        <f>IFERROR(DTE_demand_forecast!V66*Historical_Cost!#REF!,"-")</f>
        <v>-</v>
      </c>
    </row>
    <row r="120" spans="1:22" x14ac:dyDescent="0.3">
      <c r="A120" s="526"/>
      <c r="B120" s="33" t="s">
        <v>81</v>
      </c>
      <c r="C120" s="81" t="str">
        <f>IFERROR(DTE_demand_forecast!C67*Historical_Cost!#REF!,"-")</f>
        <v>-</v>
      </c>
      <c r="D120" s="81" t="str">
        <f>IFERROR(DTE_demand_forecast!D67*Historical_Cost!#REF!,"-")</f>
        <v>-</v>
      </c>
      <c r="E120" s="81" t="str">
        <f>IFERROR(DTE_demand_forecast!E67*Historical_Cost!#REF!,"-")</f>
        <v>-</v>
      </c>
      <c r="F120" s="81" t="str">
        <f>IFERROR(DTE_demand_forecast!F67*Historical_Cost!#REF!,"-")</f>
        <v>-</v>
      </c>
      <c r="G120" s="81" t="str">
        <f>IFERROR(DTE_demand_forecast!G67*Historical_Cost!#REF!,"-")</f>
        <v>-</v>
      </c>
      <c r="H120" s="81" t="str">
        <f>IFERROR(DTE_demand_forecast!H67*Historical_Cost!#REF!,"-")</f>
        <v>-</v>
      </c>
      <c r="I120" s="81" t="str">
        <f>IFERROR(DTE_demand_forecast!I67*Historical_Cost!#REF!,"-")</f>
        <v>-</v>
      </c>
      <c r="J120" s="81" t="str">
        <f>IFERROR(DTE_demand_forecast!J67*Historical_Cost!#REF!,"-")</f>
        <v>-</v>
      </c>
      <c r="K120" s="81" t="str">
        <f>IFERROR(DTE_demand_forecast!K67*Historical_Cost!#REF!,"-")</f>
        <v>-</v>
      </c>
      <c r="L120" s="81" t="str">
        <f>IFERROR(DTE_demand_forecast!L67*Historical_Cost!#REF!,"-")</f>
        <v>-</v>
      </c>
      <c r="M120" s="81" t="str">
        <f>IFERROR(DTE_demand_forecast!M67*Historical_Cost!#REF!,"-")</f>
        <v>-</v>
      </c>
      <c r="N120" s="81" t="str">
        <f>IFERROR(DTE_demand_forecast!N67*Historical_Cost!#REF!,"-")</f>
        <v>-</v>
      </c>
      <c r="O120" s="81" t="str">
        <f>IFERROR(DTE_demand_forecast!O67*Historical_Cost!#REF!,"-")</f>
        <v>-</v>
      </c>
      <c r="P120" s="81" t="str">
        <f>IFERROR(DTE_demand_forecast!P67*Historical_Cost!#REF!,"-")</f>
        <v>-</v>
      </c>
      <c r="Q120" s="81" t="str">
        <f>IFERROR(DTE_demand_forecast!Q67*Historical_Cost!#REF!,"-")</f>
        <v>-</v>
      </c>
      <c r="R120" s="81" t="str">
        <f>IFERROR(DTE_demand_forecast!R67*Historical_Cost!#REF!,"-")</f>
        <v>-</v>
      </c>
      <c r="S120" s="81" t="str">
        <f>IFERROR(DTE_demand_forecast!S67*Historical_Cost!#REF!,"-")</f>
        <v>-</v>
      </c>
      <c r="T120" s="81" t="str">
        <f>IFERROR(DTE_demand_forecast!T67*Historical_Cost!#REF!,"-")</f>
        <v>-</v>
      </c>
      <c r="U120" s="81" t="str">
        <f>IFERROR(DTE_demand_forecast!U67*Historical_Cost!#REF!,"-")</f>
        <v>-</v>
      </c>
      <c r="V120" s="81" t="str">
        <f>IFERROR(DTE_demand_forecast!V67*Historical_Cost!#REF!,"-")</f>
        <v>-</v>
      </c>
    </row>
    <row r="121" spans="1:22" x14ac:dyDescent="0.3">
      <c r="A121" s="526"/>
      <c r="B121" s="33" t="s">
        <v>42</v>
      </c>
      <c r="C121" s="81" t="str">
        <f>IFERROR(DTE_demand_forecast!C68*Historical_Cost!#REF!,"-")</f>
        <v>-</v>
      </c>
      <c r="D121" s="81" t="str">
        <f>IFERROR(DTE_demand_forecast!D68*Historical_Cost!#REF!,"-")</f>
        <v>-</v>
      </c>
      <c r="E121" s="81" t="str">
        <f>IFERROR(DTE_demand_forecast!E68*Historical_Cost!#REF!,"-")</f>
        <v>-</v>
      </c>
      <c r="F121" s="81" t="str">
        <f>IFERROR(DTE_demand_forecast!F68*Historical_Cost!#REF!,"-")</f>
        <v>-</v>
      </c>
      <c r="G121" s="81" t="str">
        <f>IFERROR(DTE_demand_forecast!G68*Historical_Cost!#REF!,"-")</f>
        <v>-</v>
      </c>
      <c r="H121" s="81" t="str">
        <f>IFERROR(DTE_demand_forecast!H68*Historical_Cost!#REF!,"-")</f>
        <v>-</v>
      </c>
      <c r="I121" s="81" t="str">
        <f>IFERROR(DTE_demand_forecast!I68*Historical_Cost!#REF!,"-")</f>
        <v>-</v>
      </c>
      <c r="J121" s="81" t="str">
        <f>IFERROR(DTE_demand_forecast!J68*Historical_Cost!#REF!,"-")</f>
        <v>-</v>
      </c>
      <c r="K121" s="81" t="str">
        <f>IFERROR(DTE_demand_forecast!K68*Historical_Cost!#REF!,"-")</f>
        <v>-</v>
      </c>
      <c r="L121" s="81" t="str">
        <f>IFERROR(DTE_demand_forecast!L68*Historical_Cost!#REF!,"-")</f>
        <v>-</v>
      </c>
      <c r="M121" s="81" t="str">
        <f>IFERROR(DTE_demand_forecast!M68*Historical_Cost!#REF!,"-")</f>
        <v>-</v>
      </c>
      <c r="N121" s="81" t="str">
        <f>IFERROR(DTE_demand_forecast!N68*Historical_Cost!#REF!,"-")</f>
        <v>-</v>
      </c>
      <c r="O121" s="81" t="str">
        <f>IFERROR(DTE_demand_forecast!O68*Historical_Cost!#REF!,"-")</f>
        <v>-</v>
      </c>
      <c r="P121" s="81" t="str">
        <f>IFERROR(DTE_demand_forecast!P68*Historical_Cost!#REF!,"-")</f>
        <v>-</v>
      </c>
      <c r="Q121" s="81" t="str">
        <f>IFERROR(DTE_demand_forecast!Q68*Historical_Cost!#REF!,"-")</f>
        <v>-</v>
      </c>
      <c r="R121" s="81" t="str">
        <f>IFERROR(DTE_demand_forecast!R68*Historical_Cost!#REF!,"-")</f>
        <v>-</v>
      </c>
      <c r="S121" s="81" t="str">
        <f>IFERROR(DTE_demand_forecast!S68*Historical_Cost!#REF!,"-")</f>
        <v>-</v>
      </c>
      <c r="T121" s="81" t="str">
        <f>IFERROR(DTE_demand_forecast!T68*Historical_Cost!#REF!,"-")</f>
        <v>-</v>
      </c>
      <c r="U121" s="81" t="str">
        <f>IFERROR(DTE_demand_forecast!U68*Historical_Cost!#REF!,"-")</f>
        <v>-</v>
      </c>
      <c r="V121" s="81" t="str">
        <f>IFERROR(DTE_demand_forecast!V68*Historical_Cost!#REF!,"-")</f>
        <v>-</v>
      </c>
    </row>
    <row r="122" spans="1:22" x14ac:dyDescent="0.3">
      <c r="A122" s="526"/>
      <c r="B122" s="33" t="s">
        <v>45</v>
      </c>
      <c r="C122" s="81" t="str">
        <f>IFERROR(DTE_demand_forecast!C69*Historical_Cost!#REF!,"-")</f>
        <v>-</v>
      </c>
      <c r="D122" s="81" t="str">
        <f>IFERROR(DTE_demand_forecast!D69*Historical_Cost!#REF!,"-")</f>
        <v>-</v>
      </c>
      <c r="E122" s="81" t="str">
        <f>IFERROR(DTE_demand_forecast!E69*Historical_Cost!#REF!,"-")</f>
        <v>-</v>
      </c>
      <c r="F122" s="81" t="str">
        <f>IFERROR(DTE_demand_forecast!F69*Historical_Cost!#REF!,"-")</f>
        <v>-</v>
      </c>
      <c r="G122" s="81" t="str">
        <f>IFERROR(DTE_demand_forecast!G69*Historical_Cost!#REF!,"-")</f>
        <v>-</v>
      </c>
      <c r="H122" s="81" t="str">
        <f>IFERROR(DTE_demand_forecast!H69*Historical_Cost!#REF!,"-")</f>
        <v>-</v>
      </c>
      <c r="I122" s="81" t="str">
        <f>IFERROR(DTE_demand_forecast!I69*Historical_Cost!#REF!,"-")</f>
        <v>-</v>
      </c>
      <c r="J122" s="81" t="str">
        <f>IFERROR(DTE_demand_forecast!J69*Historical_Cost!#REF!,"-")</f>
        <v>-</v>
      </c>
      <c r="K122" s="81" t="str">
        <f>IFERROR(DTE_demand_forecast!K69*Historical_Cost!#REF!,"-")</f>
        <v>-</v>
      </c>
      <c r="L122" s="81" t="str">
        <f>IFERROR(DTE_demand_forecast!L69*Historical_Cost!#REF!,"-")</f>
        <v>-</v>
      </c>
      <c r="M122" s="81" t="str">
        <f>IFERROR(DTE_demand_forecast!M69*Historical_Cost!#REF!,"-")</f>
        <v>-</v>
      </c>
      <c r="N122" s="81" t="str">
        <f>IFERROR(DTE_demand_forecast!N69*Historical_Cost!#REF!,"-")</f>
        <v>-</v>
      </c>
      <c r="O122" s="81" t="str">
        <f>IFERROR(DTE_demand_forecast!O69*Historical_Cost!#REF!,"-")</f>
        <v>-</v>
      </c>
      <c r="P122" s="81" t="str">
        <f>IFERROR(DTE_demand_forecast!P69*Historical_Cost!#REF!,"-")</f>
        <v>-</v>
      </c>
      <c r="Q122" s="81" t="str">
        <f>IFERROR(DTE_demand_forecast!Q69*Historical_Cost!#REF!,"-")</f>
        <v>-</v>
      </c>
      <c r="R122" s="81" t="str">
        <f>IFERROR(DTE_demand_forecast!R69*Historical_Cost!#REF!,"-")</f>
        <v>-</v>
      </c>
      <c r="S122" s="81" t="str">
        <f>IFERROR(DTE_demand_forecast!S69*Historical_Cost!#REF!,"-")</f>
        <v>-</v>
      </c>
      <c r="T122" s="81" t="str">
        <f>IFERROR(DTE_demand_forecast!T69*Historical_Cost!#REF!,"-")</f>
        <v>-</v>
      </c>
      <c r="U122" s="81" t="str">
        <f>IFERROR(DTE_demand_forecast!U69*Historical_Cost!#REF!,"-")</f>
        <v>-</v>
      </c>
      <c r="V122" s="81" t="str">
        <f>IFERROR(DTE_demand_forecast!V69*Historical_Cost!#REF!,"-")</f>
        <v>-</v>
      </c>
    </row>
    <row r="123" spans="1:22" x14ac:dyDescent="0.3">
      <c r="A123" s="526"/>
      <c r="B123" s="34" t="s">
        <v>84</v>
      </c>
      <c r="C123" s="128">
        <f t="shared" ref="C123:V123" si="6">SUM(C115:C122)</f>
        <v>0</v>
      </c>
      <c r="D123" s="128">
        <f t="shared" si="6"/>
        <v>0</v>
      </c>
      <c r="E123" s="128">
        <f t="shared" si="6"/>
        <v>0</v>
      </c>
      <c r="F123" s="128">
        <f t="shared" si="6"/>
        <v>0</v>
      </c>
      <c r="G123" s="128">
        <f t="shared" si="6"/>
        <v>0</v>
      </c>
      <c r="H123" s="128">
        <f t="shared" si="6"/>
        <v>0</v>
      </c>
      <c r="I123" s="128">
        <f t="shared" si="6"/>
        <v>0</v>
      </c>
      <c r="J123" s="128">
        <f t="shared" si="6"/>
        <v>0</v>
      </c>
      <c r="K123" s="128">
        <f t="shared" si="6"/>
        <v>0</v>
      </c>
      <c r="L123" s="128">
        <f t="shared" si="6"/>
        <v>0</v>
      </c>
      <c r="M123" s="128">
        <f t="shared" si="6"/>
        <v>0</v>
      </c>
      <c r="N123" s="128">
        <f t="shared" si="6"/>
        <v>0</v>
      </c>
      <c r="O123" s="128">
        <f t="shared" si="6"/>
        <v>0</v>
      </c>
      <c r="P123" s="128">
        <f t="shared" si="6"/>
        <v>0</v>
      </c>
      <c r="Q123" s="128">
        <f t="shared" si="6"/>
        <v>0</v>
      </c>
      <c r="R123" s="128">
        <f t="shared" si="6"/>
        <v>0</v>
      </c>
      <c r="S123" s="128">
        <f t="shared" si="6"/>
        <v>0</v>
      </c>
      <c r="T123" s="128">
        <f t="shared" si="6"/>
        <v>0</v>
      </c>
      <c r="U123" s="128">
        <f t="shared" si="6"/>
        <v>0</v>
      </c>
      <c r="V123" s="128">
        <f t="shared" si="6"/>
        <v>0</v>
      </c>
    </row>
    <row r="124" spans="1:22" x14ac:dyDescent="0.3">
      <c r="A124" s="526"/>
      <c r="B124" s="129"/>
      <c r="C124" s="130"/>
      <c r="D124" s="130"/>
      <c r="E124" s="130"/>
      <c r="F124" s="130"/>
      <c r="G124" s="130"/>
      <c r="H124" s="130"/>
      <c r="I124" s="130"/>
      <c r="J124" s="130"/>
      <c r="K124" s="130"/>
      <c r="L124" s="130"/>
      <c r="M124" s="130"/>
      <c r="N124" s="130"/>
      <c r="O124" s="130"/>
      <c r="P124" s="130"/>
      <c r="Q124" s="130"/>
      <c r="R124" s="130"/>
      <c r="S124" s="130"/>
      <c r="T124" s="130"/>
      <c r="U124" s="130"/>
      <c r="V124" s="130"/>
    </row>
    <row r="125" spans="1:22" x14ac:dyDescent="0.3">
      <c r="A125" s="526"/>
      <c r="B125" s="129"/>
      <c r="C125" s="130"/>
      <c r="D125" s="130"/>
      <c r="E125" s="130"/>
      <c r="F125" s="130"/>
      <c r="G125" s="130"/>
      <c r="H125" s="130"/>
      <c r="I125" s="130"/>
      <c r="J125" s="130"/>
      <c r="K125" s="130"/>
      <c r="L125" s="130"/>
      <c r="M125" s="130"/>
      <c r="N125" s="130"/>
      <c r="O125" s="130"/>
      <c r="P125" s="130"/>
      <c r="Q125" s="130"/>
      <c r="R125" s="130"/>
      <c r="S125" s="130"/>
      <c r="T125" s="130"/>
      <c r="U125" s="130"/>
      <c r="V125" s="130"/>
    </row>
    <row r="126" spans="1:22" x14ac:dyDescent="0.3">
      <c r="A126" s="526"/>
      <c r="B126" s="129"/>
      <c r="C126" s="130"/>
      <c r="D126" s="130"/>
      <c r="E126" s="130"/>
      <c r="F126" s="130"/>
      <c r="G126" s="130"/>
      <c r="H126" s="130"/>
      <c r="I126" s="130"/>
      <c r="J126" s="130"/>
      <c r="K126" s="130"/>
      <c r="L126" s="130"/>
      <c r="M126" s="130"/>
      <c r="N126" s="130"/>
      <c r="O126" s="130"/>
      <c r="P126" s="130"/>
      <c r="Q126" s="130"/>
      <c r="R126" s="130"/>
      <c r="S126" s="130"/>
      <c r="T126" s="130"/>
      <c r="U126" s="130"/>
      <c r="V126" s="130"/>
    </row>
    <row r="127" spans="1:22" x14ac:dyDescent="0.3">
      <c r="A127" s="526"/>
      <c r="B127" s="129"/>
      <c r="C127" s="130"/>
      <c r="D127" s="130"/>
      <c r="E127" s="130"/>
      <c r="F127" s="130"/>
      <c r="G127" s="130"/>
      <c r="H127" s="130"/>
      <c r="I127" s="130"/>
      <c r="J127" s="130"/>
      <c r="K127" s="130"/>
      <c r="L127" s="130"/>
      <c r="M127" s="130"/>
      <c r="N127" s="130"/>
      <c r="O127" s="130"/>
      <c r="P127" s="130"/>
      <c r="Q127" s="130"/>
      <c r="R127" s="130"/>
      <c r="S127" s="130"/>
      <c r="T127" s="130"/>
      <c r="U127" s="130"/>
      <c r="V127" s="130"/>
    </row>
    <row r="128" spans="1:22" x14ac:dyDescent="0.3">
      <c r="A128" s="526"/>
      <c r="B128" s="129"/>
      <c r="C128" s="130"/>
      <c r="D128" s="130"/>
      <c r="E128" s="130"/>
      <c r="F128" s="130"/>
      <c r="G128" s="130"/>
      <c r="H128" s="130"/>
      <c r="I128" s="130"/>
      <c r="J128" s="130"/>
      <c r="K128" s="130"/>
      <c r="L128" s="130"/>
      <c r="M128" s="130"/>
      <c r="N128" s="130"/>
      <c r="O128" s="130"/>
      <c r="P128" s="130"/>
      <c r="Q128" s="130"/>
      <c r="R128" s="130"/>
      <c r="S128" s="130"/>
      <c r="T128" s="130"/>
      <c r="U128" s="130"/>
      <c r="V128" s="130"/>
    </row>
    <row r="129" spans="1:22" x14ac:dyDescent="0.3">
      <c r="A129" s="526"/>
    </row>
    <row r="130" spans="1:22" x14ac:dyDescent="0.3">
      <c r="A130" s="526"/>
    </row>
    <row r="131" spans="1:22" x14ac:dyDescent="0.3">
      <c r="A131" s="526"/>
      <c r="B131" s="35" t="s">
        <v>163</v>
      </c>
      <c r="L131" s="20"/>
      <c r="M131" s="20"/>
    </row>
    <row r="132" spans="1:22" x14ac:dyDescent="0.3">
      <c r="A132" s="526"/>
      <c r="B132" s="78" t="s">
        <v>82</v>
      </c>
      <c r="C132" s="78">
        <v>2021</v>
      </c>
      <c r="D132" s="79">
        <v>2022</v>
      </c>
      <c r="E132" s="78">
        <v>2023</v>
      </c>
      <c r="F132" s="79">
        <v>2024</v>
      </c>
      <c r="G132" s="78">
        <v>2025</v>
      </c>
      <c r="H132" s="79">
        <v>2026</v>
      </c>
      <c r="I132" s="78">
        <v>2027</v>
      </c>
      <c r="J132" s="79">
        <v>2028</v>
      </c>
      <c r="K132" s="78">
        <v>2029</v>
      </c>
      <c r="L132" s="79">
        <v>2030</v>
      </c>
      <c r="M132" s="78">
        <v>2031</v>
      </c>
      <c r="N132" s="79">
        <v>2032</v>
      </c>
      <c r="O132" s="78">
        <v>2033</v>
      </c>
      <c r="P132" s="79">
        <v>2034</v>
      </c>
      <c r="Q132" s="78">
        <v>2035</v>
      </c>
      <c r="R132" s="79">
        <v>2036</v>
      </c>
      <c r="S132" s="78">
        <v>2037</v>
      </c>
      <c r="T132" s="79">
        <v>2038</v>
      </c>
      <c r="U132" s="78">
        <v>2039</v>
      </c>
      <c r="V132" s="79">
        <v>2040</v>
      </c>
    </row>
    <row r="133" spans="1:22" x14ac:dyDescent="0.3">
      <c r="A133" s="526"/>
      <c r="B133" s="33" t="s">
        <v>43</v>
      </c>
      <c r="C133" s="81" t="str">
        <f>IFERROR(DTE_demand_forecast!C141*Historical_Cost!#REF!,"-")</f>
        <v>-</v>
      </c>
      <c r="D133" s="81" t="str">
        <f>IFERROR(DTE_demand_forecast!D141*Historical_Cost!#REF!,"-")</f>
        <v>-</v>
      </c>
      <c r="E133" s="81" t="str">
        <f>IFERROR(DTE_demand_forecast!E141*Historical_Cost!#REF!,"-")</f>
        <v>-</v>
      </c>
      <c r="F133" s="81" t="str">
        <f>IFERROR(DTE_demand_forecast!F141*Historical_Cost!#REF!,"-")</f>
        <v>-</v>
      </c>
      <c r="G133" s="81" t="str">
        <f>IFERROR(DTE_demand_forecast!G141*Historical_Cost!#REF!,"-")</f>
        <v>-</v>
      </c>
      <c r="H133" s="81" t="str">
        <f>IFERROR(DTE_demand_forecast!H141*Historical_Cost!#REF!,"-")</f>
        <v>-</v>
      </c>
      <c r="I133" s="81" t="str">
        <f>IFERROR(DTE_demand_forecast!I141*Historical_Cost!#REF!,"-")</f>
        <v>-</v>
      </c>
      <c r="J133" s="81" t="str">
        <f>IFERROR(DTE_demand_forecast!J141*Historical_Cost!#REF!,"-")</f>
        <v>-</v>
      </c>
      <c r="K133" s="81" t="str">
        <f>IFERROR(DTE_demand_forecast!K141*Historical_Cost!#REF!,"-")</f>
        <v>-</v>
      </c>
      <c r="L133" s="81" t="str">
        <f>IFERROR(DTE_demand_forecast!L141*Historical_Cost!#REF!,"-")</f>
        <v>-</v>
      </c>
      <c r="M133" s="81" t="str">
        <f>IFERROR(DTE_demand_forecast!M141*Historical_Cost!#REF!,"-")</f>
        <v>-</v>
      </c>
      <c r="N133" s="81" t="str">
        <f>IFERROR(DTE_demand_forecast!N141*Historical_Cost!#REF!,"-")</f>
        <v>-</v>
      </c>
      <c r="O133" s="81" t="str">
        <f>IFERROR(DTE_demand_forecast!O141*Historical_Cost!#REF!,"-")</f>
        <v>-</v>
      </c>
      <c r="P133" s="81" t="str">
        <f>IFERROR(DTE_demand_forecast!P141*Historical_Cost!#REF!,"-")</f>
        <v>-</v>
      </c>
      <c r="Q133" s="81" t="str">
        <f>IFERROR(DTE_demand_forecast!Q141*Historical_Cost!#REF!,"-")</f>
        <v>-</v>
      </c>
      <c r="R133" s="81" t="str">
        <f>IFERROR(DTE_demand_forecast!R141*Historical_Cost!#REF!,"-")</f>
        <v>-</v>
      </c>
      <c r="S133" s="81" t="str">
        <f>IFERROR(DTE_demand_forecast!S141*Historical_Cost!#REF!,"-")</f>
        <v>-</v>
      </c>
      <c r="T133" s="81" t="str">
        <f>IFERROR(DTE_demand_forecast!T141*Historical_Cost!#REF!,"-")</f>
        <v>-</v>
      </c>
      <c r="U133" s="81" t="str">
        <f>IFERROR(DTE_demand_forecast!U141*Historical_Cost!#REF!,"-")</f>
        <v>-</v>
      </c>
      <c r="V133" s="81" t="str">
        <f>IFERROR(DTE_demand_forecast!V141*Historical_Cost!#REF!,"-")</f>
        <v>-</v>
      </c>
    </row>
    <row r="134" spans="1:22" x14ac:dyDescent="0.3">
      <c r="A134" s="526"/>
      <c r="B134" s="33" t="s">
        <v>41</v>
      </c>
      <c r="C134" s="81" t="str">
        <f>IFERROR(DTE_demand_forecast!C142*Historical_Cost!#REF!,"-")</f>
        <v>-</v>
      </c>
      <c r="D134" s="81" t="str">
        <f>IFERROR(DTE_demand_forecast!D142*Historical_Cost!#REF!,"-")</f>
        <v>-</v>
      </c>
      <c r="E134" s="81" t="str">
        <f>IFERROR(DTE_demand_forecast!E142*Historical_Cost!#REF!,"-")</f>
        <v>-</v>
      </c>
      <c r="F134" s="81" t="str">
        <f>IFERROR(DTE_demand_forecast!F142*Historical_Cost!#REF!,"-")</f>
        <v>-</v>
      </c>
      <c r="G134" s="81" t="str">
        <f>IFERROR(DTE_demand_forecast!G142*Historical_Cost!#REF!,"-")</f>
        <v>-</v>
      </c>
      <c r="H134" s="81" t="str">
        <f>IFERROR(DTE_demand_forecast!H142*Historical_Cost!#REF!,"-")</f>
        <v>-</v>
      </c>
      <c r="I134" s="81" t="str">
        <f>IFERROR(DTE_demand_forecast!I142*Historical_Cost!#REF!,"-")</f>
        <v>-</v>
      </c>
      <c r="J134" s="81" t="str">
        <f>IFERROR(DTE_demand_forecast!J142*Historical_Cost!#REF!,"-")</f>
        <v>-</v>
      </c>
      <c r="K134" s="81" t="str">
        <f>IFERROR(DTE_demand_forecast!K142*Historical_Cost!#REF!,"-")</f>
        <v>-</v>
      </c>
      <c r="L134" s="81" t="str">
        <f>IFERROR(DTE_demand_forecast!L142*Historical_Cost!#REF!,"-")</f>
        <v>-</v>
      </c>
      <c r="M134" s="81" t="str">
        <f>IFERROR(DTE_demand_forecast!M142*Historical_Cost!#REF!,"-")</f>
        <v>-</v>
      </c>
      <c r="N134" s="81" t="str">
        <f>IFERROR(DTE_demand_forecast!N142*Historical_Cost!#REF!,"-")</f>
        <v>-</v>
      </c>
      <c r="O134" s="81" t="str">
        <f>IFERROR(DTE_demand_forecast!O142*Historical_Cost!#REF!,"-")</f>
        <v>-</v>
      </c>
      <c r="P134" s="81" t="str">
        <f>IFERROR(DTE_demand_forecast!P142*Historical_Cost!#REF!,"-")</f>
        <v>-</v>
      </c>
      <c r="Q134" s="81" t="str">
        <f>IFERROR(DTE_demand_forecast!Q142*Historical_Cost!#REF!,"-")</f>
        <v>-</v>
      </c>
      <c r="R134" s="81" t="str">
        <f>IFERROR(DTE_demand_forecast!R142*Historical_Cost!#REF!,"-")</f>
        <v>-</v>
      </c>
      <c r="S134" s="81" t="str">
        <f>IFERROR(DTE_demand_forecast!S142*Historical_Cost!#REF!,"-")</f>
        <v>-</v>
      </c>
      <c r="T134" s="81" t="str">
        <f>IFERROR(DTE_demand_forecast!T142*Historical_Cost!#REF!,"-")</f>
        <v>-</v>
      </c>
      <c r="U134" s="81" t="str">
        <f>IFERROR(DTE_demand_forecast!U142*Historical_Cost!#REF!,"-")</f>
        <v>-</v>
      </c>
      <c r="V134" s="81" t="str">
        <f>IFERROR(DTE_demand_forecast!V142*Historical_Cost!#REF!,"-")</f>
        <v>-</v>
      </c>
    </row>
    <row r="135" spans="1:22" x14ac:dyDescent="0.3">
      <c r="A135" s="526"/>
      <c r="B135" s="33" t="s">
        <v>40</v>
      </c>
      <c r="C135" s="81" t="str">
        <f>IFERROR(DTE_demand_forecast!C143*Historical_Cost!#REF!,"-")</f>
        <v>-</v>
      </c>
      <c r="D135" s="81" t="str">
        <f>IFERROR(DTE_demand_forecast!D143*Historical_Cost!#REF!,"-")</f>
        <v>-</v>
      </c>
      <c r="E135" s="81" t="str">
        <f>IFERROR(DTE_demand_forecast!E143*Historical_Cost!#REF!,"-")</f>
        <v>-</v>
      </c>
      <c r="F135" s="81" t="str">
        <f>IFERROR(DTE_demand_forecast!F143*Historical_Cost!#REF!,"-")</f>
        <v>-</v>
      </c>
      <c r="G135" s="81" t="str">
        <f>IFERROR(DTE_demand_forecast!G143*Historical_Cost!#REF!,"-")</f>
        <v>-</v>
      </c>
      <c r="H135" s="81" t="str">
        <f>IFERROR(DTE_demand_forecast!H143*Historical_Cost!#REF!,"-")</f>
        <v>-</v>
      </c>
      <c r="I135" s="81" t="str">
        <f>IFERROR(DTE_demand_forecast!I143*Historical_Cost!#REF!,"-")</f>
        <v>-</v>
      </c>
      <c r="J135" s="81" t="str">
        <f>IFERROR(DTE_demand_forecast!J143*Historical_Cost!#REF!,"-")</f>
        <v>-</v>
      </c>
      <c r="K135" s="81" t="str">
        <f>IFERROR(DTE_demand_forecast!K143*Historical_Cost!#REF!,"-")</f>
        <v>-</v>
      </c>
      <c r="L135" s="81" t="str">
        <f>IFERROR(DTE_demand_forecast!L143*Historical_Cost!#REF!,"-")</f>
        <v>-</v>
      </c>
      <c r="M135" s="81" t="str">
        <f>IFERROR(DTE_demand_forecast!M143*Historical_Cost!#REF!,"-")</f>
        <v>-</v>
      </c>
      <c r="N135" s="81" t="str">
        <f>IFERROR(DTE_demand_forecast!N143*Historical_Cost!#REF!,"-")</f>
        <v>-</v>
      </c>
      <c r="O135" s="81" t="str">
        <f>IFERROR(DTE_demand_forecast!O143*Historical_Cost!#REF!,"-")</f>
        <v>-</v>
      </c>
      <c r="P135" s="81" t="str">
        <f>IFERROR(DTE_demand_forecast!P143*Historical_Cost!#REF!,"-")</f>
        <v>-</v>
      </c>
      <c r="Q135" s="81" t="str">
        <f>IFERROR(DTE_demand_forecast!Q143*Historical_Cost!#REF!,"-")</f>
        <v>-</v>
      </c>
      <c r="R135" s="81" t="str">
        <f>IFERROR(DTE_demand_forecast!R143*Historical_Cost!#REF!,"-")</f>
        <v>-</v>
      </c>
      <c r="S135" s="81" t="str">
        <f>IFERROR(DTE_demand_forecast!S143*Historical_Cost!#REF!,"-")</f>
        <v>-</v>
      </c>
      <c r="T135" s="81" t="str">
        <f>IFERROR(DTE_demand_forecast!T143*Historical_Cost!#REF!,"-")</f>
        <v>-</v>
      </c>
      <c r="U135" s="81" t="str">
        <f>IFERROR(DTE_demand_forecast!U143*Historical_Cost!#REF!,"-")</f>
        <v>-</v>
      </c>
      <c r="V135" s="81" t="str">
        <f>IFERROR(DTE_demand_forecast!V143*Historical_Cost!#REF!,"-")</f>
        <v>-</v>
      </c>
    </row>
    <row r="136" spans="1:22" x14ac:dyDescent="0.3">
      <c r="A136" s="526"/>
      <c r="B136" s="33" t="s">
        <v>80</v>
      </c>
      <c r="C136" s="81" t="str">
        <f>IFERROR(DTE_demand_forecast!C144*Historical_Cost!#REF!,"-")</f>
        <v>-</v>
      </c>
      <c r="D136" s="81" t="str">
        <f>IFERROR(DTE_demand_forecast!D144*Historical_Cost!#REF!,"-")</f>
        <v>-</v>
      </c>
      <c r="E136" s="81" t="str">
        <f>IFERROR(DTE_demand_forecast!E144*Historical_Cost!#REF!,"-")</f>
        <v>-</v>
      </c>
      <c r="F136" s="81" t="str">
        <f>IFERROR(DTE_demand_forecast!F144*Historical_Cost!#REF!,"-")</f>
        <v>-</v>
      </c>
      <c r="G136" s="81" t="str">
        <f>IFERROR(DTE_demand_forecast!G144*Historical_Cost!#REF!,"-")</f>
        <v>-</v>
      </c>
      <c r="H136" s="81" t="str">
        <f>IFERROR(DTE_demand_forecast!H144*Historical_Cost!#REF!,"-")</f>
        <v>-</v>
      </c>
      <c r="I136" s="81" t="str">
        <f>IFERROR(DTE_demand_forecast!I144*Historical_Cost!#REF!,"-")</f>
        <v>-</v>
      </c>
      <c r="J136" s="81" t="str">
        <f>IFERROR(DTE_demand_forecast!J144*Historical_Cost!#REF!,"-")</f>
        <v>-</v>
      </c>
      <c r="K136" s="81" t="str">
        <f>IFERROR(DTE_demand_forecast!K144*Historical_Cost!#REF!,"-")</f>
        <v>-</v>
      </c>
      <c r="L136" s="81" t="str">
        <f>IFERROR(DTE_demand_forecast!L144*Historical_Cost!#REF!,"-")</f>
        <v>-</v>
      </c>
      <c r="M136" s="81" t="str">
        <f>IFERROR(DTE_demand_forecast!M144*Historical_Cost!#REF!,"-")</f>
        <v>-</v>
      </c>
      <c r="N136" s="81" t="str">
        <f>IFERROR(DTE_demand_forecast!N144*Historical_Cost!#REF!,"-")</f>
        <v>-</v>
      </c>
      <c r="O136" s="81" t="str">
        <f>IFERROR(DTE_demand_forecast!O144*Historical_Cost!#REF!,"-")</f>
        <v>-</v>
      </c>
      <c r="P136" s="81" t="str">
        <f>IFERROR(DTE_demand_forecast!P144*Historical_Cost!#REF!,"-")</f>
        <v>-</v>
      </c>
      <c r="Q136" s="81" t="str">
        <f>IFERROR(DTE_demand_forecast!Q144*Historical_Cost!#REF!,"-")</f>
        <v>-</v>
      </c>
      <c r="R136" s="81" t="str">
        <f>IFERROR(DTE_demand_forecast!R144*Historical_Cost!#REF!,"-")</f>
        <v>-</v>
      </c>
      <c r="S136" s="81" t="str">
        <f>IFERROR(DTE_demand_forecast!S144*Historical_Cost!#REF!,"-")</f>
        <v>-</v>
      </c>
      <c r="T136" s="81" t="str">
        <f>IFERROR(DTE_demand_forecast!T144*Historical_Cost!#REF!,"-")</f>
        <v>-</v>
      </c>
      <c r="U136" s="81" t="str">
        <f>IFERROR(DTE_demand_forecast!U144*Historical_Cost!#REF!,"-")</f>
        <v>-</v>
      </c>
      <c r="V136" s="81" t="str">
        <f>IFERROR(DTE_demand_forecast!V144*Historical_Cost!#REF!,"-")</f>
        <v>-</v>
      </c>
    </row>
    <row r="137" spans="1:22" x14ac:dyDescent="0.3">
      <c r="A137" s="526"/>
      <c r="B137" s="33" t="s">
        <v>44</v>
      </c>
      <c r="C137" s="81" t="str">
        <f>IFERROR(DTE_demand_forecast!C145*Historical_Cost!#REF!,"-")</f>
        <v>-</v>
      </c>
      <c r="D137" s="81" t="str">
        <f>IFERROR(DTE_demand_forecast!D145*Historical_Cost!#REF!,"-")</f>
        <v>-</v>
      </c>
      <c r="E137" s="81" t="str">
        <f>IFERROR(DTE_demand_forecast!E145*Historical_Cost!#REF!,"-")</f>
        <v>-</v>
      </c>
      <c r="F137" s="81" t="str">
        <f>IFERROR(DTE_demand_forecast!F145*Historical_Cost!#REF!,"-")</f>
        <v>-</v>
      </c>
      <c r="G137" s="81" t="str">
        <f>IFERROR(DTE_demand_forecast!G145*Historical_Cost!#REF!,"-")</f>
        <v>-</v>
      </c>
      <c r="H137" s="81" t="str">
        <f>IFERROR(DTE_demand_forecast!H145*Historical_Cost!#REF!,"-")</f>
        <v>-</v>
      </c>
      <c r="I137" s="81" t="str">
        <f>IFERROR(DTE_demand_forecast!I145*Historical_Cost!#REF!,"-")</f>
        <v>-</v>
      </c>
      <c r="J137" s="81" t="str">
        <f>IFERROR(DTE_demand_forecast!J145*Historical_Cost!#REF!,"-")</f>
        <v>-</v>
      </c>
      <c r="K137" s="81" t="str">
        <f>IFERROR(DTE_demand_forecast!K145*Historical_Cost!#REF!,"-")</f>
        <v>-</v>
      </c>
      <c r="L137" s="81" t="str">
        <f>IFERROR(DTE_demand_forecast!L145*Historical_Cost!#REF!,"-")</f>
        <v>-</v>
      </c>
      <c r="M137" s="81" t="str">
        <f>IFERROR(DTE_demand_forecast!M145*Historical_Cost!#REF!,"-")</f>
        <v>-</v>
      </c>
      <c r="N137" s="81" t="str">
        <f>IFERROR(DTE_demand_forecast!N145*Historical_Cost!#REF!,"-")</f>
        <v>-</v>
      </c>
      <c r="O137" s="81" t="str">
        <f>IFERROR(DTE_demand_forecast!O145*Historical_Cost!#REF!,"-")</f>
        <v>-</v>
      </c>
      <c r="P137" s="81" t="str">
        <f>IFERROR(DTE_demand_forecast!P145*Historical_Cost!#REF!,"-")</f>
        <v>-</v>
      </c>
      <c r="Q137" s="81" t="str">
        <f>IFERROR(DTE_demand_forecast!Q145*Historical_Cost!#REF!,"-")</f>
        <v>-</v>
      </c>
      <c r="R137" s="81" t="str">
        <f>IFERROR(DTE_demand_forecast!R145*Historical_Cost!#REF!,"-")</f>
        <v>-</v>
      </c>
      <c r="S137" s="81" t="str">
        <f>IFERROR(DTE_demand_forecast!S145*Historical_Cost!#REF!,"-")</f>
        <v>-</v>
      </c>
      <c r="T137" s="81" t="str">
        <f>IFERROR(DTE_demand_forecast!T145*Historical_Cost!#REF!,"-")</f>
        <v>-</v>
      </c>
      <c r="U137" s="81" t="str">
        <f>IFERROR(DTE_demand_forecast!U145*Historical_Cost!#REF!,"-")</f>
        <v>-</v>
      </c>
      <c r="V137" s="81" t="str">
        <f>IFERROR(DTE_demand_forecast!V145*Historical_Cost!#REF!,"-")</f>
        <v>-</v>
      </c>
    </row>
    <row r="138" spans="1:22" x14ac:dyDescent="0.3">
      <c r="A138" s="526"/>
      <c r="B138" s="33" t="s">
        <v>81</v>
      </c>
      <c r="C138" s="81" t="str">
        <f>IFERROR(DTE_demand_forecast!C146*Historical_Cost!#REF!,"-")</f>
        <v>-</v>
      </c>
      <c r="D138" s="81" t="str">
        <f>IFERROR(DTE_demand_forecast!D146*Historical_Cost!#REF!,"-")</f>
        <v>-</v>
      </c>
      <c r="E138" s="81" t="str">
        <f>IFERROR(DTE_demand_forecast!E146*Historical_Cost!#REF!,"-")</f>
        <v>-</v>
      </c>
      <c r="F138" s="81" t="str">
        <f>IFERROR(DTE_demand_forecast!F146*Historical_Cost!#REF!,"-")</f>
        <v>-</v>
      </c>
      <c r="G138" s="81" t="str">
        <f>IFERROR(DTE_demand_forecast!G146*Historical_Cost!#REF!,"-")</f>
        <v>-</v>
      </c>
      <c r="H138" s="81" t="str">
        <f>IFERROR(DTE_demand_forecast!H146*Historical_Cost!#REF!,"-")</f>
        <v>-</v>
      </c>
      <c r="I138" s="81" t="str">
        <f>IFERROR(DTE_demand_forecast!I146*Historical_Cost!#REF!,"-")</f>
        <v>-</v>
      </c>
      <c r="J138" s="81" t="str">
        <f>IFERROR(DTE_demand_forecast!J146*Historical_Cost!#REF!,"-")</f>
        <v>-</v>
      </c>
      <c r="K138" s="81" t="str">
        <f>IFERROR(DTE_demand_forecast!K146*Historical_Cost!#REF!,"-")</f>
        <v>-</v>
      </c>
      <c r="L138" s="81" t="str">
        <f>IFERROR(DTE_demand_forecast!L146*Historical_Cost!#REF!,"-")</f>
        <v>-</v>
      </c>
      <c r="M138" s="81" t="str">
        <f>IFERROR(DTE_demand_forecast!M146*Historical_Cost!#REF!,"-")</f>
        <v>-</v>
      </c>
      <c r="N138" s="81" t="str">
        <f>IFERROR(DTE_demand_forecast!N146*Historical_Cost!#REF!,"-")</f>
        <v>-</v>
      </c>
      <c r="O138" s="81" t="str">
        <f>IFERROR(DTE_demand_forecast!O146*Historical_Cost!#REF!,"-")</f>
        <v>-</v>
      </c>
      <c r="P138" s="81" t="str">
        <f>IFERROR(DTE_demand_forecast!P146*Historical_Cost!#REF!,"-")</f>
        <v>-</v>
      </c>
      <c r="Q138" s="81" t="str">
        <f>IFERROR(DTE_demand_forecast!Q146*Historical_Cost!#REF!,"-")</f>
        <v>-</v>
      </c>
      <c r="R138" s="81" t="str">
        <f>IFERROR(DTE_demand_forecast!R146*Historical_Cost!#REF!,"-")</f>
        <v>-</v>
      </c>
      <c r="S138" s="81" t="str">
        <f>IFERROR(DTE_demand_forecast!S146*Historical_Cost!#REF!,"-")</f>
        <v>-</v>
      </c>
      <c r="T138" s="81" t="str">
        <f>IFERROR(DTE_demand_forecast!T146*Historical_Cost!#REF!,"-")</f>
        <v>-</v>
      </c>
      <c r="U138" s="81" t="str">
        <f>IFERROR(DTE_demand_forecast!U146*Historical_Cost!#REF!,"-")</f>
        <v>-</v>
      </c>
      <c r="V138" s="81" t="str">
        <f>IFERROR(DTE_demand_forecast!V146*Historical_Cost!#REF!,"-")</f>
        <v>-</v>
      </c>
    </row>
    <row r="139" spans="1:22" x14ac:dyDescent="0.3">
      <c r="A139" s="526"/>
      <c r="B139" s="33" t="s">
        <v>42</v>
      </c>
      <c r="C139" s="81" t="str">
        <f>IFERROR(DTE_demand_forecast!C147*Historical_Cost!#REF!,"-")</f>
        <v>-</v>
      </c>
      <c r="D139" s="81" t="str">
        <f>IFERROR(DTE_demand_forecast!D147*Historical_Cost!#REF!,"-")</f>
        <v>-</v>
      </c>
      <c r="E139" s="81" t="str">
        <f>IFERROR(DTE_demand_forecast!E147*Historical_Cost!#REF!,"-")</f>
        <v>-</v>
      </c>
      <c r="F139" s="81" t="str">
        <f>IFERROR(DTE_demand_forecast!F147*Historical_Cost!#REF!,"-")</f>
        <v>-</v>
      </c>
      <c r="G139" s="81" t="str">
        <f>IFERROR(DTE_demand_forecast!G147*Historical_Cost!#REF!,"-")</f>
        <v>-</v>
      </c>
      <c r="H139" s="81" t="str">
        <f>IFERROR(DTE_demand_forecast!H147*Historical_Cost!#REF!,"-")</f>
        <v>-</v>
      </c>
      <c r="I139" s="81" t="str">
        <f>IFERROR(DTE_demand_forecast!I147*Historical_Cost!#REF!,"-")</f>
        <v>-</v>
      </c>
      <c r="J139" s="81" t="str">
        <f>IFERROR(DTE_demand_forecast!J147*Historical_Cost!#REF!,"-")</f>
        <v>-</v>
      </c>
      <c r="K139" s="81" t="str">
        <f>IFERROR(DTE_demand_forecast!K147*Historical_Cost!#REF!,"-")</f>
        <v>-</v>
      </c>
      <c r="L139" s="81" t="str">
        <f>IFERROR(DTE_demand_forecast!L147*Historical_Cost!#REF!,"-")</f>
        <v>-</v>
      </c>
      <c r="M139" s="81" t="str">
        <f>IFERROR(DTE_demand_forecast!M147*Historical_Cost!#REF!,"-")</f>
        <v>-</v>
      </c>
      <c r="N139" s="81" t="str">
        <f>IFERROR(DTE_demand_forecast!N147*Historical_Cost!#REF!,"-")</f>
        <v>-</v>
      </c>
      <c r="O139" s="81" t="str">
        <f>IFERROR(DTE_demand_forecast!O147*Historical_Cost!#REF!,"-")</f>
        <v>-</v>
      </c>
      <c r="P139" s="81" t="str">
        <f>IFERROR(DTE_demand_forecast!P147*Historical_Cost!#REF!,"-")</f>
        <v>-</v>
      </c>
      <c r="Q139" s="81" t="str">
        <f>IFERROR(DTE_demand_forecast!Q147*Historical_Cost!#REF!,"-")</f>
        <v>-</v>
      </c>
      <c r="R139" s="81" t="str">
        <f>IFERROR(DTE_demand_forecast!R147*Historical_Cost!#REF!,"-")</f>
        <v>-</v>
      </c>
      <c r="S139" s="81" t="str">
        <f>IFERROR(DTE_demand_forecast!S147*Historical_Cost!#REF!,"-")</f>
        <v>-</v>
      </c>
      <c r="T139" s="81" t="str">
        <f>IFERROR(DTE_demand_forecast!T147*Historical_Cost!#REF!,"-")</f>
        <v>-</v>
      </c>
      <c r="U139" s="81" t="str">
        <f>IFERROR(DTE_demand_forecast!U147*Historical_Cost!#REF!,"-")</f>
        <v>-</v>
      </c>
      <c r="V139" s="81" t="str">
        <f>IFERROR(DTE_demand_forecast!V147*Historical_Cost!#REF!,"-")</f>
        <v>-</v>
      </c>
    </row>
    <row r="140" spans="1:22" x14ac:dyDescent="0.3">
      <c r="A140" s="526"/>
      <c r="B140" s="33" t="s">
        <v>45</v>
      </c>
      <c r="C140" s="81" t="str">
        <f>IFERROR(DTE_demand_forecast!C148*Historical_Cost!#REF!,"-")</f>
        <v>-</v>
      </c>
      <c r="D140" s="81" t="str">
        <f>IFERROR(DTE_demand_forecast!D148*Historical_Cost!#REF!,"-")</f>
        <v>-</v>
      </c>
      <c r="E140" s="81" t="str">
        <f>IFERROR(DTE_demand_forecast!E148*Historical_Cost!#REF!,"-")</f>
        <v>-</v>
      </c>
      <c r="F140" s="81" t="str">
        <f>IFERROR(DTE_demand_forecast!F148*Historical_Cost!#REF!,"-")</f>
        <v>-</v>
      </c>
      <c r="G140" s="81" t="str">
        <f>IFERROR(DTE_demand_forecast!G148*Historical_Cost!#REF!,"-")</f>
        <v>-</v>
      </c>
      <c r="H140" s="81" t="str">
        <f>IFERROR(DTE_demand_forecast!H148*Historical_Cost!#REF!,"-")</f>
        <v>-</v>
      </c>
      <c r="I140" s="81" t="str">
        <f>IFERROR(DTE_demand_forecast!I148*Historical_Cost!#REF!,"-")</f>
        <v>-</v>
      </c>
      <c r="J140" s="81" t="str">
        <f>IFERROR(DTE_demand_forecast!J148*Historical_Cost!#REF!,"-")</f>
        <v>-</v>
      </c>
      <c r="K140" s="81" t="str">
        <f>IFERROR(DTE_demand_forecast!K148*Historical_Cost!#REF!,"-")</f>
        <v>-</v>
      </c>
      <c r="L140" s="81" t="str">
        <f>IFERROR(DTE_demand_forecast!L148*Historical_Cost!#REF!,"-")</f>
        <v>-</v>
      </c>
      <c r="M140" s="81" t="str">
        <f>IFERROR(DTE_demand_forecast!M148*Historical_Cost!#REF!,"-")</f>
        <v>-</v>
      </c>
      <c r="N140" s="81" t="str">
        <f>IFERROR(DTE_demand_forecast!N148*Historical_Cost!#REF!,"-")</f>
        <v>-</v>
      </c>
      <c r="O140" s="81" t="str">
        <f>IFERROR(DTE_demand_forecast!O148*Historical_Cost!#REF!,"-")</f>
        <v>-</v>
      </c>
      <c r="P140" s="81" t="str">
        <f>IFERROR(DTE_demand_forecast!P148*Historical_Cost!#REF!,"-")</f>
        <v>-</v>
      </c>
      <c r="Q140" s="81" t="str">
        <f>IFERROR(DTE_demand_forecast!Q148*Historical_Cost!#REF!,"-")</f>
        <v>-</v>
      </c>
      <c r="R140" s="81" t="str">
        <f>IFERROR(DTE_demand_forecast!R148*Historical_Cost!#REF!,"-")</f>
        <v>-</v>
      </c>
      <c r="S140" s="81" t="str">
        <f>IFERROR(DTE_demand_forecast!S148*Historical_Cost!#REF!,"-")</f>
        <v>-</v>
      </c>
      <c r="T140" s="81" t="str">
        <f>IFERROR(DTE_demand_forecast!T148*Historical_Cost!#REF!,"-")</f>
        <v>-</v>
      </c>
      <c r="U140" s="81" t="str">
        <f>IFERROR(DTE_demand_forecast!U148*Historical_Cost!#REF!,"-")</f>
        <v>-</v>
      </c>
      <c r="V140" s="81" t="str">
        <f>IFERROR(DTE_demand_forecast!V148*Historical_Cost!#REF!,"-")</f>
        <v>-</v>
      </c>
    </row>
    <row r="141" spans="1:22" x14ac:dyDescent="0.3">
      <c r="A141" s="526"/>
      <c r="B141" s="33" t="s">
        <v>84</v>
      </c>
      <c r="C141" s="128">
        <f t="shared" ref="C141:V141" si="7">SUM(C133:C140)</f>
        <v>0</v>
      </c>
      <c r="D141" s="128">
        <f t="shared" si="7"/>
        <v>0</v>
      </c>
      <c r="E141" s="128">
        <f t="shared" si="7"/>
        <v>0</v>
      </c>
      <c r="F141" s="128">
        <f t="shared" si="7"/>
        <v>0</v>
      </c>
      <c r="G141" s="128">
        <f t="shared" si="7"/>
        <v>0</v>
      </c>
      <c r="H141" s="128">
        <f t="shared" si="7"/>
        <v>0</v>
      </c>
      <c r="I141" s="128">
        <f t="shared" si="7"/>
        <v>0</v>
      </c>
      <c r="J141" s="128">
        <f t="shared" si="7"/>
        <v>0</v>
      </c>
      <c r="K141" s="128">
        <f t="shared" si="7"/>
        <v>0</v>
      </c>
      <c r="L141" s="128">
        <f t="shared" si="7"/>
        <v>0</v>
      </c>
      <c r="M141" s="128">
        <f t="shared" si="7"/>
        <v>0</v>
      </c>
      <c r="N141" s="128">
        <f t="shared" si="7"/>
        <v>0</v>
      </c>
      <c r="O141" s="128">
        <f t="shared" si="7"/>
        <v>0</v>
      </c>
      <c r="P141" s="128">
        <f t="shared" si="7"/>
        <v>0</v>
      </c>
      <c r="Q141" s="128">
        <f t="shared" si="7"/>
        <v>0</v>
      </c>
      <c r="R141" s="128">
        <f t="shared" si="7"/>
        <v>0</v>
      </c>
      <c r="S141" s="128">
        <f t="shared" si="7"/>
        <v>0</v>
      </c>
      <c r="T141" s="128">
        <f t="shared" si="7"/>
        <v>0</v>
      </c>
      <c r="U141" s="128">
        <f t="shared" si="7"/>
        <v>0</v>
      </c>
      <c r="V141" s="128">
        <f t="shared" si="7"/>
        <v>0</v>
      </c>
    </row>
    <row r="142" spans="1:22" x14ac:dyDescent="0.3">
      <c r="A142" s="526"/>
    </row>
    <row r="143" spans="1:22" x14ac:dyDescent="0.3">
      <c r="A143" s="526"/>
    </row>
    <row r="144" spans="1:22" x14ac:dyDescent="0.3">
      <c r="A144" s="526"/>
    </row>
    <row r="145" spans="1:22" x14ac:dyDescent="0.3">
      <c r="A145" s="526"/>
    </row>
    <row r="146" spans="1:22" x14ac:dyDescent="0.3">
      <c r="A146" s="526"/>
    </row>
    <row r="147" spans="1:22" x14ac:dyDescent="0.3">
      <c r="A147" s="526"/>
    </row>
    <row r="148" spans="1:22" x14ac:dyDescent="0.3">
      <c r="A148" s="526"/>
    </row>
    <row r="149" spans="1:22" x14ac:dyDescent="0.3">
      <c r="A149" s="526"/>
      <c r="B149" s="35" t="s">
        <v>164</v>
      </c>
      <c r="L149" s="20"/>
      <c r="M149" s="20"/>
    </row>
    <row r="150" spans="1:22" x14ac:dyDescent="0.3">
      <c r="A150" s="526"/>
      <c r="B150" s="78" t="s">
        <v>82</v>
      </c>
      <c r="C150" s="78">
        <v>2021</v>
      </c>
      <c r="D150" s="79">
        <v>2022</v>
      </c>
      <c r="E150" s="78">
        <v>2023</v>
      </c>
      <c r="F150" s="79">
        <v>2024</v>
      </c>
      <c r="G150" s="78">
        <v>2025</v>
      </c>
      <c r="H150" s="79">
        <v>2026</v>
      </c>
      <c r="I150" s="78">
        <v>2027</v>
      </c>
      <c r="J150" s="79">
        <v>2028</v>
      </c>
      <c r="K150" s="78">
        <v>2029</v>
      </c>
      <c r="L150" s="79">
        <v>2030</v>
      </c>
      <c r="M150" s="78">
        <v>2031</v>
      </c>
      <c r="N150" s="79">
        <v>2032</v>
      </c>
      <c r="O150" s="78">
        <v>2033</v>
      </c>
      <c r="P150" s="79">
        <v>2034</v>
      </c>
      <c r="Q150" s="78">
        <v>2035</v>
      </c>
      <c r="R150" s="79">
        <v>2036</v>
      </c>
      <c r="S150" s="78">
        <v>2037</v>
      </c>
      <c r="T150" s="79">
        <v>2038</v>
      </c>
      <c r="U150" s="78">
        <v>2039</v>
      </c>
      <c r="V150" s="79">
        <v>2040</v>
      </c>
    </row>
    <row r="151" spans="1:22" x14ac:dyDescent="0.3">
      <c r="A151" s="526"/>
      <c r="B151" s="33" t="s">
        <v>43</v>
      </c>
      <c r="C151" s="81" t="str">
        <f>IFERROR(DTE_demand_forecast!C220*Historical_Cost!#REF!,"-")</f>
        <v>-</v>
      </c>
      <c r="D151" s="81" t="str">
        <f>IFERROR(DTE_demand_forecast!D220*Historical_Cost!#REF!,"-")</f>
        <v>-</v>
      </c>
      <c r="E151" s="81" t="str">
        <f>IFERROR(DTE_demand_forecast!E220*Historical_Cost!#REF!,"-")</f>
        <v>-</v>
      </c>
      <c r="F151" s="81" t="str">
        <f>IFERROR(DTE_demand_forecast!F220*Historical_Cost!#REF!,"-")</f>
        <v>-</v>
      </c>
      <c r="G151" s="81" t="str">
        <f>IFERROR(DTE_demand_forecast!G220*Historical_Cost!#REF!,"-")</f>
        <v>-</v>
      </c>
      <c r="H151" s="81" t="str">
        <f>IFERROR(DTE_demand_forecast!H220*Historical_Cost!#REF!,"-")</f>
        <v>-</v>
      </c>
      <c r="I151" s="81" t="str">
        <f>IFERROR(DTE_demand_forecast!I220*Historical_Cost!#REF!,"-")</f>
        <v>-</v>
      </c>
      <c r="J151" s="81" t="str">
        <f>IFERROR(DTE_demand_forecast!J220*Historical_Cost!#REF!,"-")</f>
        <v>-</v>
      </c>
      <c r="K151" s="81" t="str">
        <f>IFERROR(DTE_demand_forecast!K220*Historical_Cost!#REF!,"-")</f>
        <v>-</v>
      </c>
      <c r="L151" s="81" t="str">
        <f>IFERROR(DTE_demand_forecast!L220*Historical_Cost!#REF!,"-")</f>
        <v>-</v>
      </c>
      <c r="M151" s="81" t="str">
        <f>IFERROR(DTE_demand_forecast!M220*Historical_Cost!#REF!,"-")</f>
        <v>-</v>
      </c>
      <c r="N151" s="81" t="str">
        <f>IFERROR(DTE_demand_forecast!N220*Historical_Cost!#REF!,"-")</f>
        <v>-</v>
      </c>
      <c r="O151" s="81" t="str">
        <f>IFERROR(DTE_demand_forecast!O220*Historical_Cost!#REF!,"-")</f>
        <v>-</v>
      </c>
      <c r="P151" s="81" t="str">
        <f>IFERROR(DTE_demand_forecast!P220*Historical_Cost!#REF!,"-")</f>
        <v>-</v>
      </c>
      <c r="Q151" s="81" t="str">
        <f>IFERROR(DTE_demand_forecast!Q220*Historical_Cost!#REF!,"-")</f>
        <v>-</v>
      </c>
      <c r="R151" s="81" t="str">
        <f>IFERROR(DTE_demand_forecast!R220*Historical_Cost!#REF!,"-")</f>
        <v>-</v>
      </c>
      <c r="S151" s="81" t="str">
        <f>IFERROR(DTE_demand_forecast!S220*Historical_Cost!#REF!,"-")</f>
        <v>-</v>
      </c>
      <c r="T151" s="81" t="str">
        <f>IFERROR(DTE_demand_forecast!T220*Historical_Cost!#REF!,"-")</f>
        <v>-</v>
      </c>
      <c r="U151" s="81" t="str">
        <f>IFERROR(DTE_demand_forecast!U220*Historical_Cost!#REF!,"-")</f>
        <v>-</v>
      </c>
      <c r="V151" s="81" t="str">
        <f>IFERROR(DTE_demand_forecast!V220*Historical_Cost!#REF!,"-")</f>
        <v>-</v>
      </c>
    </row>
    <row r="152" spans="1:22" x14ac:dyDescent="0.3">
      <c r="A152" s="526"/>
      <c r="B152" s="33" t="s">
        <v>41</v>
      </c>
      <c r="C152" s="81" t="str">
        <f>IFERROR(DTE_demand_forecast!C221*Historical_Cost!#REF!,"-")</f>
        <v>-</v>
      </c>
      <c r="D152" s="81" t="str">
        <f>IFERROR(DTE_demand_forecast!D221*Historical_Cost!#REF!,"-")</f>
        <v>-</v>
      </c>
      <c r="E152" s="81" t="str">
        <f>IFERROR(DTE_demand_forecast!E221*Historical_Cost!#REF!,"-")</f>
        <v>-</v>
      </c>
      <c r="F152" s="81" t="str">
        <f>IFERROR(DTE_demand_forecast!F221*Historical_Cost!#REF!,"-")</f>
        <v>-</v>
      </c>
      <c r="G152" s="81" t="str">
        <f>IFERROR(DTE_demand_forecast!G221*Historical_Cost!#REF!,"-")</f>
        <v>-</v>
      </c>
      <c r="H152" s="81" t="str">
        <f>IFERROR(DTE_demand_forecast!H221*Historical_Cost!#REF!,"-")</f>
        <v>-</v>
      </c>
      <c r="I152" s="81" t="str">
        <f>IFERROR(DTE_demand_forecast!I221*Historical_Cost!#REF!,"-")</f>
        <v>-</v>
      </c>
      <c r="J152" s="81" t="str">
        <f>IFERROR(DTE_demand_forecast!J221*Historical_Cost!#REF!,"-")</f>
        <v>-</v>
      </c>
      <c r="K152" s="81" t="str">
        <f>IFERROR(DTE_demand_forecast!K221*Historical_Cost!#REF!,"-")</f>
        <v>-</v>
      </c>
      <c r="L152" s="81" t="str">
        <f>IFERROR(DTE_demand_forecast!L221*Historical_Cost!#REF!,"-")</f>
        <v>-</v>
      </c>
      <c r="M152" s="81" t="str">
        <f>IFERROR(DTE_demand_forecast!M221*Historical_Cost!#REF!,"-")</f>
        <v>-</v>
      </c>
      <c r="N152" s="81" t="str">
        <f>IFERROR(DTE_demand_forecast!N221*Historical_Cost!#REF!,"-")</f>
        <v>-</v>
      </c>
      <c r="O152" s="81" t="str">
        <f>IFERROR(DTE_demand_forecast!O221*Historical_Cost!#REF!,"-")</f>
        <v>-</v>
      </c>
      <c r="P152" s="81" t="str">
        <f>IFERROR(DTE_demand_forecast!P221*Historical_Cost!#REF!,"-")</f>
        <v>-</v>
      </c>
      <c r="Q152" s="81" t="str">
        <f>IFERROR(DTE_demand_forecast!Q221*Historical_Cost!#REF!,"-")</f>
        <v>-</v>
      </c>
      <c r="R152" s="81" t="str">
        <f>IFERROR(DTE_demand_forecast!R221*Historical_Cost!#REF!,"-")</f>
        <v>-</v>
      </c>
      <c r="S152" s="81" t="str">
        <f>IFERROR(DTE_demand_forecast!S221*Historical_Cost!#REF!,"-")</f>
        <v>-</v>
      </c>
      <c r="T152" s="81" t="str">
        <f>IFERROR(DTE_demand_forecast!T221*Historical_Cost!#REF!,"-")</f>
        <v>-</v>
      </c>
      <c r="U152" s="81" t="str">
        <f>IFERROR(DTE_demand_forecast!U221*Historical_Cost!#REF!,"-")</f>
        <v>-</v>
      </c>
      <c r="V152" s="81" t="str">
        <f>IFERROR(DTE_demand_forecast!V221*Historical_Cost!#REF!,"-")</f>
        <v>-</v>
      </c>
    </row>
    <row r="153" spans="1:22" x14ac:dyDescent="0.3">
      <c r="A153" s="526"/>
      <c r="B153" s="33" t="s">
        <v>40</v>
      </c>
      <c r="C153" s="81" t="str">
        <f>IFERROR(DTE_demand_forecast!C222*Historical_Cost!#REF!,"-")</f>
        <v>-</v>
      </c>
      <c r="D153" s="81" t="str">
        <f>IFERROR(DTE_demand_forecast!D222*Historical_Cost!#REF!,"-")</f>
        <v>-</v>
      </c>
      <c r="E153" s="81" t="str">
        <f>IFERROR(DTE_demand_forecast!E222*Historical_Cost!#REF!,"-")</f>
        <v>-</v>
      </c>
      <c r="F153" s="81" t="str">
        <f>IFERROR(DTE_demand_forecast!F222*Historical_Cost!#REF!,"-")</f>
        <v>-</v>
      </c>
      <c r="G153" s="81" t="str">
        <f>IFERROR(DTE_demand_forecast!G222*Historical_Cost!#REF!,"-")</f>
        <v>-</v>
      </c>
      <c r="H153" s="81" t="str">
        <f>IFERROR(DTE_demand_forecast!H222*Historical_Cost!#REF!,"-")</f>
        <v>-</v>
      </c>
      <c r="I153" s="81" t="str">
        <f>IFERROR(DTE_demand_forecast!I222*Historical_Cost!#REF!,"-")</f>
        <v>-</v>
      </c>
      <c r="J153" s="81" t="str">
        <f>IFERROR(DTE_demand_forecast!J222*Historical_Cost!#REF!,"-")</f>
        <v>-</v>
      </c>
      <c r="K153" s="81" t="str">
        <f>IFERROR(DTE_demand_forecast!K222*Historical_Cost!#REF!,"-")</f>
        <v>-</v>
      </c>
      <c r="L153" s="81" t="str">
        <f>IFERROR(DTE_demand_forecast!L222*Historical_Cost!#REF!,"-")</f>
        <v>-</v>
      </c>
      <c r="M153" s="81" t="str">
        <f>IFERROR(DTE_demand_forecast!M222*Historical_Cost!#REF!,"-")</f>
        <v>-</v>
      </c>
      <c r="N153" s="81" t="str">
        <f>IFERROR(DTE_demand_forecast!N222*Historical_Cost!#REF!,"-")</f>
        <v>-</v>
      </c>
      <c r="O153" s="81" t="str">
        <f>IFERROR(DTE_demand_forecast!O222*Historical_Cost!#REF!,"-")</f>
        <v>-</v>
      </c>
      <c r="P153" s="81" t="str">
        <f>IFERROR(DTE_demand_forecast!P222*Historical_Cost!#REF!,"-")</f>
        <v>-</v>
      </c>
      <c r="Q153" s="81" t="str">
        <f>IFERROR(DTE_demand_forecast!Q222*Historical_Cost!#REF!,"-")</f>
        <v>-</v>
      </c>
      <c r="R153" s="81" t="str">
        <f>IFERROR(DTE_demand_forecast!R222*Historical_Cost!#REF!,"-")</f>
        <v>-</v>
      </c>
      <c r="S153" s="81" t="str">
        <f>IFERROR(DTE_demand_forecast!S222*Historical_Cost!#REF!,"-")</f>
        <v>-</v>
      </c>
      <c r="T153" s="81" t="str">
        <f>IFERROR(DTE_demand_forecast!T222*Historical_Cost!#REF!,"-")</f>
        <v>-</v>
      </c>
      <c r="U153" s="81" t="str">
        <f>IFERROR(DTE_demand_forecast!U222*Historical_Cost!#REF!,"-")</f>
        <v>-</v>
      </c>
      <c r="V153" s="81" t="str">
        <f>IFERROR(DTE_demand_forecast!V222*Historical_Cost!#REF!,"-")</f>
        <v>-</v>
      </c>
    </row>
    <row r="154" spans="1:22" x14ac:dyDescent="0.3">
      <c r="A154" s="526"/>
      <c r="B154" s="33" t="s">
        <v>80</v>
      </c>
      <c r="C154" s="81" t="str">
        <f>IFERROR(DTE_demand_forecast!C223*Historical_Cost!#REF!,"-")</f>
        <v>-</v>
      </c>
      <c r="D154" s="81" t="str">
        <f>IFERROR(DTE_demand_forecast!D223*Historical_Cost!#REF!,"-")</f>
        <v>-</v>
      </c>
      <c r="E154" s="81" t="str">
        <f>IFERROR(DTE_demand_forecast!E223*Historical_Cost!#REF!,"-")</f>
        <v>-</v>
      </c>
      <c r="F154" s="81" t="str">
        <f>IFERROR(DTE_demand_forecast!F223*Historical_Cost!#REF!,"-")</f>
        <v>-</v>
      </c>
      <c r="G154" s="81" t="str">
        <f>IFERROR(DTE_demand_forecast!G223*Historical_Cost!#REF!,"-")</f>
        <v>-</v>
      </c>
      <c r="H154" s="81" t="str">
        <f>IFERROR(DTE_demand_forecast!H223*Historical_Cost!#REF!,"-")</f>
        <v>-</v>
      </c>
      <c r="I154" s="81" t="str">
        <f>IFERROR(DTE_demand_forecast!I223*Historical_Cost!#REF!,"-")</f>
        <v>-</v>
      </c>
      <c r="J154" s="81" t="str">
        <f>IFERROR(DTE_demand_forecast!J223*Historical_Cost!#REF!,"-")</f>
        <v>-</v>
      </c>
      <c r="K154" s="81" t="str">
        <f>IFERROR(DTE_demand_forecast!K223*Historical_Cost!#REF!,"-")</f>
        <v>-</v>
      </c>
      <c r="L154" s="81" t="str">
        <f>IFERROR(DTE_demand_forecast!L223*Historical_Cost!#REF!,"-")</f>
        <v>-</v>
      </c>
      <c r="M154" s="81" t="str">
        <f>IFERROR(DTE_demand_forecast!M223*Historical_Cost!#REF!,"-")</f>
        <v>-</v>
      </c>
      <c r="N154" s="81" t="str">
        <f>IFERROR(DTE_demand_forecast!N223*Historical_Cost!#REF!,"-")</f>
        <v>-</v>
      </c>
      <c r="O154" s="81" t="str">
        <f>IFERROR(DTE_demand_forecast!O223*Historical_Cost!#REF!,"-")</f>
        <v>-</v>
      </c>
      <c r="P154" s="81" t="str">
        <f>IFERROR(DTE_demand_forecast!P223*Historical_Cost!#REF!,"-")</f>
        <v>-</v>
      </c>
      <c r="Q154" s="81" t="str">
        <f>IFERROR(DTE_demand_forecast!Q223*Historical_Cost!#REF!,"-")</f>
        <v>-</v>
      </c>
      <c r="R154" s="81" t="str">
        <f>IFERROR(DTE_demand_forecast!R223*Historical_Cost!#REF!,"-")</f>
        <v>-</v>
      </c>
      <c r="S154" s="81" t="str">
        <f>IFERROR(DTE_demand_forecast!S223*Historical_Cost!#REF!,"-")</f>
        <v>-</v>
      </c>
      <c r="T154" s="81" t="str">
        <f>IFERROR(DTE_demand_forecast!T223*Historical_Cost!#REF!,"-")</f>
        <v>-</v>
      </c>
      <c r="U154" s="81" t="str">
        <f>IFERROR(DTE_demand_forecast!U223*Historical_Cost!#REF!,"-")</f>
        <v>-</v>
      </c>
      <c r="V154" s="81" t="str">
        <f>IFERROR(DTE_demand_forecast!V223*Historical_Cost!#REF!,"-")</f>
        <v>-</v>
      </c>
    </row>
    <row r="155" spans="1:22" x14ac:dyDescent="0.3">
      <c r="A155" s="526"/>
      <c r="B155" s="33" t="s">
        <v>44</v>
      </c>
      <c r="C155" s="81" t="str">
        <f>IFERROR(DTE_demand_forecast!C224*Historical_Cost!#REF!,"-")</f>
        <v>-</v>
      </c>
      <c r="D155" s="81" t="str">
        <f>IFERROR(DTE_demand_forecast!D224*Historical_Cost!#REF!,"-")</f>
        <v>-</v>
      </c>
      <c r="E155" s="81" t="str">
        <f>IFERROR(DTE_demand_forecast!E224*Historical_Cost!#REF!,"-")</f>
        <v>-</v>
      </c>
      <c r="F155" s="81" t="str">
        <f>IFERROR(DTE_demand_forecast!F224*Historical_Cost!#REF!,"-")</f>
        <v>-</v>
      </c>
      <c r="G155" s="81" t="str">
        <f>IFERROR(DTE_demand_forecast!G224*Historical_Cost!#REF!,"-")</f>
        <v>-</v>
      </c>
      <c r="H155" s="81" t="str">
        <f>IFERROR(DTE_demand_forecast!H224*Historical_Cost!#REF!,"-")</f>
        <v>-</v>
      </c>
      <c r="I155" s="81" t="str">
        <f>IFERROR(DTE_demand_forecast!I224*Historical_Cost!#REF!,"-")</f>
        <v>-</v>
      </c>
      <c r="J155" s="81" t="str">
        <f>IFERROR(DTE_demand_forecast!J224*Historical_Cost!#REF!,"-")</f>
        <v>-</v>
      </c>
      <c r="K155" s="81" t="str">
        <f>IFERROR(DTE_demand_forecast!K224*Historical_Cost!#REF!,"-")</f>
        <v>-</v>
      </c>
      <c r="L155" s="81" t="str">
        <f>IFERROR(DTE_demand_forecast!L224*Historical_Cost!#REF!,"-")</f>
        <v>-</v>
      </c>
      <c r="M155" s="81" t="str">
        <f>IFERROR(DTE_demand_forecast!M224*Historical_Cost!#REF!,"-")</f>
        <v>-</v>
      </c>
      <c r="N155" s="81" t="str">
        <f>IFERROR(DTE_demand_forecast!N224*Historical_Cost!#REF!,"-")</f>
        <v>-</v>
      </c>
      <c r="O155" s="81" t="str">
        <f>IFERROR(DTE_demand_forecast!O224*Historical_Cost!#REF!,"-")</f>
        <v>-</v>
      </c>
      <c r="P155" s="81" t="str">
        <f>IFERROR(DTE_demand_forecast!P224*Historical_Cost!#REF!,"-")</f>
        <v>-</v>
      </c>
      <c r="Q155" s="81" t="str">
        <f>IFERROR(DTE_demand_forecast!Q224*Historical_Cost!#REF!,"-")</f>
        <v>-</v>
      </c>
      <c r="R155" s="81" t="str">
        <f>IFERROR(DTE_demand_forecast!R224*Historical_Cost!#REF!,"-")</f>
        <v>-</v>
      </c>
      <c r="S155" s="81" t="str">
        <f>IFERROR(DTE_demand_forecast!S224*Historical_Cost!#REF!,"-")</f>
        <v>-</v>
      </c>
      <c r="T155" s="81" t="str">
        <f>IFERROR(DTE_demand_forecast!T224*Historical_Cost!#REF!,"-")</f>
        <v>-</v>
      </c>
      <c r="U155" s="81" t="str">
        <f>IFERROR(DTE_demand_forecast!U224*Historical_Cost!#REF!,"-")</f>
        <v>-</v>
      </c>
      <c r="V155" s="81" t="str">
        <f>IFERROR(DTE_demand_forecast!V224*Historical_Cost!#REF!,"-")</f>
        <v>-</v>
      </c>
    </row>
    <row r="156" spans="1:22" x14ac:dyDescent="0.3">
      <c r="A156" s="526"/>
      <c r="B156" s="33" t="s">
        <v>81</v>
      </c>
      <c r="C156" s="81" t="str">
        <f>IFERROR(DTE_demand_forecast!C225*Historical_Cost!#REF!,"-")</f>
        <v>-</v>
      </c>
      <c r="D156" s="81" t="str">
        <f>IFERROR(DTE_demand_forecast!D225*Historical_Cost!#REF!,"-")</f>
        <v>-</v>
      </c>
      <c r="E156" s="81" t="str">
        <f>IFERROR(DTE_demand_forecast!E225*Historical_Cost!#REF!,"-")</f>
        <v>-</v>
      </c>
      <c r="F156" s="81" t="str">
        <f>IFERROR(DTE_demand_forecast!F225*Historical_Cost!#REF!,"-")</f>
        <v>-</v>
      </c>
      <c r="G156" s="81" t="str">
        <f>IFERROR(DTE_demand_forecast!G225*Historical_Cost!#REF!,"-")</f>
        <v>-</v>
      </c>
      <c r="H156" s="81" t="str">
        <f>IFERROR(DTE_demand_forecast!H225*Historical_Cost!#REF!,"-")</f>
        <v>-</v>
      </c>
      <c r="I156" s="81" t="str">
        <f>IFERROR(DTE_demand_forecast!I225*Historical_Cost!#REF!,"-")</f>
        <v>-</v>
      </c>
      <c r="J156" s="81" t="str">
        <f>IFERROR(DTE_demand_forecast!J225*Historical_Cost!#REF!,"-")</f>
        <v>-</v>
      </c>
      <c r="K156" s="81" t="str">
        <f>IFERROR(DTE_demand_forecast!K225*Historical_Cost!#REF!,"-")</f>
        <v>-</v>
      </c>
      <c r="L156" s="81" t="str">
        <f>IFERROR(DTE_demand_forecast!L225*Historical_Cost!#REF!,"-")</f>
        <v>-</v>
      </c>
      <c r="M156" s="81" t="str">
        <f>IFERROR(DTE_demand_forecast!M225*Historical_Cost!#REF!,"-")</f>
        <v>-</v>
      </c>
      <c r="N156" s="81" t="str">
        <f>IFERROR(DTE_demand_forecast!N225*Historical_Cost!#REF!,"-")</f>
        <v>-</v>
      </c>
      <c r="O156" s="81" t="str">
        <f>IFERROR(DTE_demand_forecast!O225*Historical_Cost!#REF!,"-")</f>
        <v>-</v>
      </c>
      <c r="P156" s="81" t="str">
        <f>IFERROR(DTE_demand_forecast!P225*Historical_Cost!#REF!,"-")</f>
        <v>-</v>
      </c>
      <c r="Q156" s="81" t="str">
        <f>IFERROR(DTE_demand_forecast!Q225*Historical_Cost!#REF!,"-")</f>
        <v>-</v>
      </c>
      <c r="R156" s="81" t="str">
        <f>IFERROR(DTE_demand_forecast!R225*Historical_Cost!#REF!,"-")</f>
        <v>-</v>
      </c>
      <c r="S156" s="81" t="str">
        <f>IFERROR(DTE_demand_forecast!S225*Historical_Cost!#REF!,"-")</f>
        <v>-</v>
      </c>
      <c r="T156" s="81" t="str">
        <f>IFERROR(DTE_demand_forecast!T225*Historical_Cost!#REF!,"-")</f>
        <v>-</v>
      </c>
      <c r="U156" s="81" t="str">
        <f>IFERROR(DTE_demand_forecast!U225*Historical_Cost!#REF!,"-")</f>
        <v>-</v>
      </c>
      <c r="V156" s="81" t="str">
        <f>IFERROR(DTE_demand_forecast!V225*Historical_Cost!#REF!,"-")</f>
        <v>-</v>
      </c>
    </row>
    <row r="157" spans="1:22" x14ac:dyDescent="0.3">
      <c r="A157" s="526"/>
      <c r="B157" s="33" t="s">
        <v>42</v>
      </c>
      <c r="C157" s="81" t="str">
        <f>IFERROR(DTE_demand_forecast!C226*Historical_Cost!#REF!,"-")</f>
        <v>-</v>
      </c>
      <c r="D157" s="81" t="str">
        <f>IFERROR(DTE_demand_forecast!D226*Historical_Cost!#REF!,"-")</f>
        <v>-</v>
      </c>
      <c r="E157" s="81" t="str">
        <f>IFERROR(DTE_demand_forecast!E226*Historical_Cost!#REF!,"-")</f>
        <v>-</v>
      </c>
      <c r="F157" s="81" t="str">
        <f>IFERROR(DTE_demand_forecast!F226*Historical_Cost!#REF!,"-")</f>
        <v>-</v>
      </c>
      <c r="G157" s="81" t="str">
        <f>IFERROR(DTE_demand_forecast!G226*Historical_Cost!#REF!,"-")</f>
        <v>-</v>
      </c>
      <c r="H157" s="81" t="str">
        <f>IFERROR(DTE_demand_forecast!H226*Historical_Cost!#REF!,"-")</f>
        <v>-</v>
      </c>
      <c r="I157" s="81" t="str">
        <f>IFERROR(DTE_demand_forecast!I226*Historical_Cost!#REF!,"-")</f>
        <v>-</v>
      </c>
      <c r="J157" s="81" t="str">
        <f>IFERROR(DTE_demand_forecast!J226*Historical_Cost!#REF!,"-")</f>
        <v>-</v>
      </c>
      <c r="K157" s="81" t="str">
        <f>IFERROR(DTE_demand_forecast!K226*Historical_Cost!#REF!,"-")</f>
        <v>-</v>
      </c>
      <c r="L157" s="81" t="str">
        <f>IFERROR(DTE_demand_forecast!L226*Historical_Cost!#REF!,"-")</f>
        <v>-</v>
      </c>
      <c r="M157" s="81" t="str">
        <f>IFERROR(DTE_demand_forecast!M226*Historical_Cost!#REF!,"-")</f>
        <v>-</v>
      </c>
      <c r="N157" s="81" t="str">
        <f>IFERROR(DTE_demand_forecast!N226*Historical_Cost!#REF!,"-")</f>
        <v>-</v>
      </c>
      <c r="O157" s="81" t="str">
        <f>IFERROR(DTE_demand_forecast!O226*Historical_Cost!#REF!,"-")</f>
        <v>-</v>
      </c>
      <c r="P157" s="81" t="str">
        <f>IFERROR(DTE_demand_forecast!P226*Historical_Cost!#REF!,"-")</f>
        <v>-</v>
      </c>
      <c r="Q157" s="81" t="str">
        <f>IFERROR(DTE_demand_forecast!Q226*Historical_Cost!#REF!,"-")</f>
        <v>-</v>
      </c>
      <c r="R157" s="81" t="str">
        <f>IFERROR(DTE_demand_forecast!R226*Historical_Cost!#REF!,"-")</f>
        <v>-</v>
      </c>
      <c r="S157" s="81" t="str">
        <f>IFERROR(DTE_demand_forecast!S226*Historical_Cost!#REF!,"-")</f>
        <v>-</v>
      </c>
      <c r="T157" s="81" t="str">
        <f>IFERROR(DTE_demand_forecast!T226*Historical_Cost!#REF!,"-")</f>
        <v>-</v>
      </c>
      <c r="U157" s="81" t="str">
        <f>IFERROR(DTE_demand_forecast!U226*Historical_Cost!#REF!,"-")</f>
        <v>-</v>
      </c>
      <c r="V157" s="81" t="str">
        <f>IFERROR(DTE_demand_forecast!V226*Historical_Cost!#REF!,"-")</f>
        <v>-</v>
      </c>
    </row>
    <row r="158" spans="1:22" x14ac:dyDescent="0.3">
      <c r="A158" s="526"/>
      <c r="B158" s="33" t="s">
        <v>45</v>
      </c>
      <c r="C158" s="81" t="str">
        <f>IFERROR(DTE_demand_forecast!C227*Historical_Cost!#REF!,"-")</f>
        <v>-</v>
      </c>
      <c r="D158" s="81" t="str">
        <f>IFERROR(DTE_demand_forecast!D227*Historical_Cost!#REF!,"-")</f>
        <v>-</v>
      </c>
      <c r="E158" s="81" t="str">
        <f>IFERROR(DTE_demand_forecast!E227*Historical_Cost!#REF!,"-")</f>
        <v>-</v>
      </c>
      <c r="F158" s="81" t="str">
        <f>IFERROR(DTE_demand_forecast!F227*Historical_Cost!#REF!,"-")</f>
        <v>-</v>
      </c>
      <c r="G158" s="81" t="str">
        <f>IFERROR(DTE_demand_forecast!G227*Historical_Cost!#REF!,"-")</f>
        <v>-</v>
      </c>
      <c r="H158" s="81" t="str">
        <f>IFERROR(DTE_demand_forecast!H227*Historical_Cost!#REF!,"-")</f>
        <v>-</v>
      </c>
      <c r="I158" s="81" t="str">
        <f>IFERROR(DTE_demand_forecast!I227*Historical_Cost!#REF!,"-")</f>
        <v>-</v>
      </c>
      <c r="J158" s="81" t="str">
        <f>IFERROR(DTE_demand_forecast!J227*Historical_Cost!#REF!,"-")</f>
        <v>-</v>
      </c>
      <c r="K158" s="81" t="str">
        <f>IFERROR(DTE_demand_forecast!K227*Historical_Cost!#REF!,"-")</f>
        <v>-</v>
      </c>
      <c r="L158" s="81" t="str">
        <f>IFERROR(DTE_demand_forecast!L227*Historical_Cost!#REF!,"-")</f>
        <v>-</v>
      </c>
      <c r="M158" s="81" t="str">
        <f>IFERROR(DTE_demand_forecast!M227*Historical_Cost!#REF!,"-")</f>
        <v>-</v>
      </c>
      <c r="N158" s="81" t="str">
        <f>IFERROR(DTE_demand_forecast!N227*Historical_Cost!#REF!,"-")</f>
        <v>-</v>
      </c>
      <c r="O158" s="81" t="str">
        <f>IFERROR(DTE_demand_forecast!O227*Historical_Cost!#REF!,"-")</f>
        <v>-</v>
      </c>
      <c r="P158" s="81" t="str">
        <f>IFERROR(DTE_demand_forecast!P227*Historical_Cost!#REF!,"-")</f>
        <v>-</v>
      </c>
      <c r="Q158" s="81" t="str">
        <f>IFERROR(DTE_demand_forecast!Q227*Historical_Cost!#REF!,"-")</f>
        <v>-</v>
      </c>
      <c r="R158" s="81" t="str">
        <f>IFERROR(DTE_demand_forecast!R227*Historical_Cost!#REF!,"-")</f>
        <v>-</v>
      </c>
      <c r="S158" s="81" t="str">
        <f>IFERROR(DTE_demand_forecast!S227*Historical_Cost!#REF!,"-")</f>
        <v>-</v>
      </c>
      <c r="T158" s="81" t="str">
        <f>IFERROR(DTE_demand_forecast!T227*Historical_Cost!#REF!,"-")</f>
        <v>-</v>
      </c>
      <c r="U158" s="81" t="str">
        <f>IFERROR(DTE_demand_forecast!U227*Historical_Cost!#REF!,"-")</f>
        <v>-</v>
      </c>
      <c r="V158" s="81" t="str">
        <f>IFERROR(DTE_demand_forecast!V227*Historical_Cost!#REF!,"-")</f>
        <v>-</v>
      </c>
    </row>
    <row r="159" spans="1:22" x14ac:dyDescent="0.3">
      <c r="A159" s="526"/>
      <c r="B159" s="33" t="s">
        <v>84</v>
      </c>
      <c r="C159" s="128">
        <f t="shared" ref="C159:V159" si="8">SUM(C151:C158)</f>
        <v>0</v>
      </c>
      <c r="D159" s="128">
        <f t="shared" si="8"/>
        <v>0</v>
      </c>
      <c r="E159" s="128">
        <f t="shared" si="8"/>
        <v>0</v>
      </c>
      <c r="F159" s="128">
        <f t="shared" si="8"/>
        <v>0</v>
      </c>
      <c r="G159" s="128">
        <f t="shared" si="8"/>
        <v>0</v>
      </c>
      <c r="H159" s="128">
        <f t="shared" si="8"/>
        <v>0</v>
      </c>
      <c r="I159" s="128">
        <f t="shared" si="8"/>
        <v>0</v>
      </c>
      <c r="J159" s="128">
        <f t="shared" si="8"/>
        <v>0</v>
      </c>
      <c r="K159" s="128">
        <f t="shared" si="8"/>
        <v>0</v>
      </c>
      <c r="L159" s="128">
        <f t="shared" si="8"/>
        <v>0</v>
      </c>
      <c r="M159" s="128">
        <f t="shared" si="8"/>
        <v>0</v>
      </c>
      <c r="N159" s="128">
        <f t="shared" si="8"/>
        <v>0</v>
      </c>
      <c r="O159" s="128">
        <f t="shared" si="8"/>
        <v>0</v>
      </c>
      <c r="P159" s="128">
        <f t="shared" si="8"/>
        <v>0</v>
      </c>
      <c r="Q159" s="128">
        <f t="shared" si="8"/>
        <v>0</v>
      </c>
      <c r="R159" s="128">
        <f t="shared" si="8"/>
        <v>0</v>
      </c>
      <c r="S159" s="128">
        <f t="shared" si="8"/>
        <v>0</v>
      </c>
      <c r="T159" s="128">
        <f t="shared" si="8"/>
        <v>0</v>
      </c>
      <c r="U159" s="128">
        <f t="shared" si="8"/>
        <v>0</v>
      </c>
      <c r="V159" s="128">
        <f t="shared" si="8"/>
        <v>0</v>
      </c>
    </row>
    <row r="160" spans="1:22" x14ac:dyDescent="0.3">
      <c r="A160" s="526"/>
    </row>
    <row r="161" spans="1:22" x14ac:dyDescent="0.3">
      <c r="A161" s="526"/>
    </row>
    <row r="162" spans="1:22" x14ac:dyDescent="0.3">
      <c r="A162" s="526"/>
    </row>
    <row r="163" spans="1:22" x14ac:dyDescent="0.3">
      <c r="A163" s="526"/>
    </row>
    <row r="164" spans="1:22" x14ac:dyDescent="0.3">
      <c r="A164" s="526"/>
    </row>
    <row r="165" spans="1:22" x14ac:dyDescent="0.3">
      <c r="A165" s="526"/>
    </row>
    <row r="166" spans="1:22" x14ac:dyDescent="0.3">
      <c r="A166" s="526"/>
    </row>
    <row r="167" spans="1:22" x14ac:dyDescent="0.3">
      <c r="A167" s="526"/>
    </row>
    <row r="168" spans="1:22" x14ac:dyDescent="0.3">
      <c r="A168" s="526"/>
    </row>
    <row r="169" spans="1:22" x14ac:dyDescent="0.3">
      <c r="A169" s="525">
        <v>0.8</v>
      </c>
      <c r="B169" s="35" t="s">
        <v>162</v>
      </c>
      <c r="L169" s="20"/>
      <c r="M169" s="20"/>
    </row>
    <row r="170" spans="1:22" x14ac:dyDescent="0.3">
      <c r="A170" s="526"/>
      <c r="B170" s="78" t="s">
        <v>82</v>
      </c>
      <c r="C170" s="78">
        <v>2021</v>
      </c>
      <c r="D170" s="79">
        <v>2022</v>
      </c>
      <c r="E170" s="78">
        <v>2023</v>
      </c>
      <c r="F170" s="79">
        <v>2024</v>
      </c>
      <c r="G170" s="78">
        <v>2025</v>
      </c>
      <c r="H170" s="79">
        <v>2026</v>
      </c>
      <c r="I170" s="78">
        <v>2027</v>
      </c>
      <c r="J170" s="79">
        <v>2028</v>
      </c>
      <c r="K170" s="78">
        <v>2029</v>
      </c>
      <c r="L170" s="79">
        <v>2030</v>
      </c>
      <c r="M170" s="78">
        <v>2031</v>
      </c>
      <c r="N170" s="79">
        <v>2032</v>
      </c>
      <c r="O170" s="78">
        <v>2033</v>
      </c>
      <c r="P170" s="79">
        <v>2034</v>
      </c>
      <c r="Q170" s="78">
        <v>2035</v>
      </c>
      <c r="R170" s="79">
        <v>2036</v>
      </c>
      <c r="S170" s="78">
        <v>2037</v>
      </c>
      <c r="T170" s="79">
        <v>2038</v>
      </c>
      <c r="U170" s="78">
        <v>2039</v>
      </c>
      <c r="V170" s="79">
        <v>2040</v>
      </c>
    </row>
    <row r="171" spans="1:22" x14ac:dyDescent="0.3">
      <c r="A171" s="526"/>
      <c r="B171" s="33" t="s">
        <v>43</v>
      </c>
      <c r="C171" s="81" t="str">
        <f>IFERROR(DTE_demand_forecast!C62*Historical_Cost!#REF!,"-")</f>
        <v>-</v>
      </c>
      <c r="D171" s="81" t="str">
        <f>IFERROR(DTE_demand_forecast!D62*Historical_Cost!#REF!,"-")</f>
        <v>-</v>
      </c>
      <c r="E171" s="81" t="str">
        <f>IFERROR(DTE_demand_forecast!E62*Historical_Cost!#REF!,"-")</f>
        <v>-</v>
      </c>
      <c r="F171" s="81" t="str">
        <f>IFERROR(DTE_demand_forecast!F62*Historical_Cost!#REF!,"-")</f>
        <v>-</v>
      </c>
      <c r="G171" s="81" t="str">
        <f>IFERROR(DTE_demand_forecast!G62*Historical_Cost!#REF!,"-")</f>
        <v>-</v>
      </c>
      <c r="H171" s="81" t="str">
        <f>IFERROR(DTE_demand_forecast!H62*Historical_Cost!#REF!,"-")</f>
        <v>-</v>
      </c>
      <c r="I171" s="81" t="str">
        <f>IFERROR(DTE_demand_forecast!I62*Historical_Cost!#REF!,"-")</f>
        <v>-</v>
      </c>
      <c r="J171" s="81" t="str">
        <f>IFERROR(DTE_demand_forecast!J62*Historical_Cost!#REF!,"-")</f>
        <v>-</v>
      </c>
      <c r="K171" s="81" t="str">
        <f>IFERROR(DTE_demand_forecast!K62*Historical_Cost!#REF!,"-")</f>
        <v>-</v>
      </c>
      <c r="L171" s="81" t="str">
        <f>IFERROR(DTE_demand_forecast!L62*Historical_Cost!#REF!,"-")</f>
        <v>-</v>
      </c>
      <c r="M171" s="81" t="str">
        <f>IFERROR(DTE_demand_forecast!M62*Historical_Cost!#REF!,"-")</f>
        <v>-</v>
      </c>
      <c r="N171" s="81" t="str">
        <f>IFERROR(DTE_demand_forecast!N62*Historical_Cost!#REF!,"-")</f>
        <v>-</v>
      </c>
      <c r="O171" s="81" t="str">
        <f>IFERROR(DTE_demand_forecast!O62*Historical_Cost!#REF!,"-")</f>
        <v>-</v>
      </c>
      <c r="P171" s="81" t="str">
        <f>IFERROR(DTE_demand_forecast!P62*Historical_Cost!#REF!,"-")</f>
        <v>-</v>
      </c>
      <c r="Q171" s="81" t="str">
        <f>IFERROR(DTE_demand_forecast!Q62*Historical_Cost!#REF!,"-")</f>
        <v>-</v>
      </c>
      <c r="R171" s="81" t="str">
        <f>IFERROR(DTE_demand_forecast!R62*Historical_Cost!#REF!,"-")</f>
        <v>-</v>
      </c>
      <c r="S171" s="81" t="str">
        <f>IFERROR(DTE_demand_forecast!S62*Historical_Cost!#REF!,"-")</f>
        <v>-</v>
      </c>
      <c r="T171" s="81" t="str">
        <f>IFERROR(DTE_demand_forecast!T62*Historical_Cost!#REF!,"-")</f>
        <v>-</v>
      </c>
      <c r="U171" s="81" t="str">
        <f>IFERROR(DTE_demand_forecast!U62*Historical_Cost!#REF!,"-")</f>
        <v>-</v>
      </c>
      <c r="V171" s="81" t="str">
        <f>IFERROR(DTE_demand_forecast!V62*Historical_Cost!#REF!,"-")</f>
        <v>-</v>
      </c>
    </row>
    <row r="172" spans="1:22" x14ac:dyDescent="0.3">
      <c r="A172" s="526"/>
      <c r="B172" s="33" t="s">
        <v>41</v>
      </c>
      <c r="C172" s="81" t="str">
        <f>IFERROR(DTE_demand_forecast!C63*Historical_Cost!#REF!,"-")</f>
        <v>-</v>
      </c>
      <c r="D172" s="81" t="str">
        <f>IFERROR(DTE_demand_forecast!D63*Historical_Cost!#REF!,"-")</f>
        <v>-</v>
      </c>
      <c r="E172" s="81" t="str">
        <f>IFERROR(DTE_demand_forecast!E63*Historical_Cost!#REF!,"-")</f>
        <v>-</v>
      </c>
      <c r="F172" s="81" t="str">
        <f>IFERROR(DTE_demand_forecast!F63*Historical_Cost!#REF!,"-")</f>
        <v>-</v>
      </c>
      <c r="G172" s="81" t="str">
        <f>IFERROR(DTE_demand_forecast!G63*Historical_Cost!#REF!,"-")</f>
        <v>-</v>
      </c>
      <c r="H172" s="81" t="str">
        <f>IFERROR(DTE_demand_forecast!H63*Historical_Cost!#REF!,"-")</f>
        <v>-</v>
      </c>
      <c r="I172" s="81" t="str">
        <f>IFERROR(DTE_demand_forecast!I63*Historical_Cost!#REF!,"-")</f>
        <v>-</v>
      </c>
      <c r="J172" s="81" t="str">
        <f>IFERROR(DTE_demand_forecast!J63*Historical_Cost!#REF!,"-")</f>
        <v>-</v>
      </c>
      <c r="K172" s="81" t="str">
        <f>IFERROR(DTE_demand_forecast!K63*Historical_Cost!#REF!,"-")</f>
        <v>-</v>
      </c>
      <c r="L172" s="81" t="str">
        <f>IFERROR(DTE_demand_forecast!L63*Historical_Cost!#REF!,"-")</f>
        <v>-</v>
      </c>
      <c r="M172" s="81" t="str">
        <f>IFERROR(DTE_demand_forecast!M63*Historical_Cost!#REF!,"-")</f>
        <v>-</v>
      </c>
      <c r="N172" s="81" t="str">
        <f>IFERROR(DTE_demand_forecast!N63*Historical_Cost!#REF!,"-")</f>
        <v>-</v>
      </c>
      <c r="O172" s="81" t="str">
        <f>IFERROR(DTE_demand_forecast!O63*Historical_Cost!#REF!,"-")</f>
        <v>-</v>
      </c>
      <c r="P172" s="81" t="str">
        <f>IFERROR(DTE_demand_forecast!P63*Historical_Cost!#REF!,"-")</f>
        <v>-</v>
      </c>
      <c r="Q172" s="81" t="str">
        <f>IFERROR(DTE_demand_forecast!Q63*Historical_Cost!#REF!,"-")</f>
        <v>-</v>
      </c>
      <c r="R172" s="81" t="str">
        <f>IFERROR(DTE_demand_forecast!R63*Historical_Cost!#REF!,"-")</f>
        <v>-</v>
      </c>
      <c r="S172" s="81" t="str">
        <f>IFERROR(DTE_demand_forecast!S63*Historical_Cost!#REF!,"-")</f>
        <v>-</v>
      </c>
      <c r="T172" s="81" t="str">
        <f>IFERROR(DTE_demand_forecast!T63*Historical_Cost!#REF!,"-")</f>
        <v>-</v>
      </c>
      <c r="U172" s="81" t="str">
        <f>IFERROR(DTE_demand_forecast!U63*Historical_Cost!#REF!,"-")</f>
        <v>-</v>
      </c>
      <c r="V172" s="81" t="str">
        <f>IFERROR(DTE_demand_forecast!V63*Historical_Cost!#REF!,"-")</f>
        <v>-</v>
      </c>
    </row>
    <row r="173" spans="1:22" x14ac:dyDescent="0.3">
      <c r="A173" s="526"/>
      <c r="B173" s="33" t="s">
        <v>40</v>
      </c>
      <c r="C173" s="81" t="str">
        <f>IFERROR(DTE_demand_forecast!C64*Historical_Cost!#REF!,"-")</f>
        <v>-</v>
      </c>
      <c r="D173" s="81" t="str">
        <f>IFERROR(DTE_demand_forecast!D64*Historical_Cost!#REF!,"-")</f>
        <v>-</v>
      </c>
      <c r="E173" s="81" t="str">
        <f>IFERROR(DTE_demand_forecast!E64*Historical_Cost!#REF!,"-")</f>
        <v>-</v>
      </c>
      <c r="F173" s="81" t="str">
        <f>IFERROR(DTE_demand_forecast!F64*Historical_Cost!#REF!,"-")</f>
        <v>-</v>
      </c>
      <c r="G173" s="81" t="str">
        <f>IFERROR(DTE_demand_forecast!G64*Historical_Cost!#REF!,"-")</f>
        <v>-</v>
      </c>
      <c r="H173" s="81" t="str">
        <f>IFERROR(DTE_demand_forecast!H64*Historical_Cost!#REF!,"-")</f>
        <v>-</v>
      </c>
      <c r="I173" s="81" t="str">
        <f>IFERROR(DTE_demand_forecast!I64*Historical_Cost!#REF!,"-")</f>
        <v>-</v>
      </c>
      <c r="J173" s="81" t="str">
        <f>IFERROR(DTE_demand_forecast!J64*Historical_Cost!#REF!,"-")</f>
        <v>-</v>
      </c>
      <c r="K173" s="81" t="str">
        <f>IFERROR(DTE_demand_forecast!K64*Historical_Cost!#REF!,"-")</f>
        <v>-</v>
      </c>
      <c r="L173" s="81" t="str">
        <f>IFERROR(DTE_demand_forecast!L64*Historical_Cost!#REF!,"-")</f>
        <v>-</v>
      </c>
      <c r="M173" s="81" t="str">
        <f>IFERROR(DTE_demand_forecast!M64*Historical_Cost!#REF!,"-")</f>
        <v>-</v>
      </c>
      <c r="N173" s="81" t="str">
        <f>IFERROR(DTE_demand_forecast!N64*Historical_Cost!#REF!,"-")</f>
        <v>-</v>
      </c>
      <c r="O173" s="81" t="str">
        <f>IFERROR(DTE_demand_forecast!O64*Historical_Cost!#REF!,"-")</f>
        <v>-</v>
      </c>
      <c r="P173" s="81" t="str">
        <f>IFERROR(DTE_demand_forecast!P64*Historical_Cost!#REF!,"-")</f>
        <v>-</v>
      </c>
      <c r="Q173" s="81" t="str">
        <f>IFERROR(DTE_demand_forecast!Q64*Historical_Cost!#REF!,"-")</f>
        <v>-</v>
      </c>
      <c r="R173" s="81" t="str">
        <f>IFERROR(DTE_demand_forecast!R64*Historical_Cost!#REF!,"-")</f>
        <v>-</v>
      </c>
      <c r="S173" s="81" t="str">
        <f>IFERROR(DTE_demand_forecast!S64*Historical_Cost!#REF!,"-")</f>
        <v>-</v>
      </c>
      <c r="T173" s="81" t="str">
        <f>IFERROR(DTE_demand_forecast!T64*Historical_Cost!#REF!,"-")</f>
        <v>-</v>
      </c>
      <c r="U173" s="81" t="str">
        <f>IFERROR(DTE_demand_forecast!U64*Historical_Cost!#REF!,"-")</f>
        <v>-</v>
      </c>
      <c r="V173" s="81" t="str">
        <f>IFERROR(DTE_demand_forecast!V64*Historical_Cost!#REF!,"-")</f>
        <v>-</v>
      </c>
    </row>
    <row r="174" spans="1:22" x14ac:dyDescent="0.3">
      <c r="A174" s="526"/>
      <c r="B174" s="33" t="s">
        <v>80</v>
      </c>
      <c r="C174" s="81" t="str">
        <f>IFERROR(DTE_demand_forecast!C65*Historical_Cost!#REF!,"-")</f>
        <v>-</v>
      </c>
      <c r="D174" s="81" t="str">
        <f>IFERROR(DTE_demand_forecast!D65*Historical_Cost!#REF!,"-")</f>
        <v>-</v>
      </c>
      <c r="E174" s="81" t="str">
        <f>IFERROR(DTE_demand_forecast!E65*Historical_Cost!#REF!,"-")</f>
        <v>-</v>
      </c>
      <c r="F174" s="81" t="str">
        <f>IFERROR(DTE_demand_forecast!F65*Historical_Cost!#REF!,"-")</f>
        <v>-</v>
      </c>
      <c r="G174" s="81" t="str">
        <f>IFERROR(DTE_demand_forecast!G65*Historical_Cost!#REF!,"-")</f>
        <v>-</v>
      </c>
      <c r="H174" s="81" t="str">
        <f>IFERROR(DTE_demand_forecast!H65*Historical_Cost!#REF!,"-")</f>
        <v>-</v>
      </c>
      <c r="I174" s="81" t="str">
        <f>IFERROR(DTE_demand_forecast!I65*Historical_Cost!#REF!,"-")</f>
        <v>-</v>
      </c>
      <c r="J174" s="81" t="str">
        <f>IFERROR(DTE_demand_forecast!J65*Historical_Cost!#REF!,"-")</f>
        <v>-</v>
      </c>
      <c r="K174" s="81" t="str">
        <f>IFERROR(DTE_demand_forecast!K65*Historical_Cost!#REF!,"-")</f>
        <v>-</v>
      </c>
      <c r="L174" s="81" t="str">
        <f>IFERROR(DTE_demand_forecast!L65*Historical_Cost!#REF!,"-")</f>
        <v>-</v>
      </c>
      <c r="M174" s="81" t="str">
        <f>IFERROR(DTE_demand_forecast!M65*Historical_Cost!#REF!,"-")</f>
        <v>-</v>
      </c>
      <c r="N174" s="81" t="str">
        <f>IFERROR(DTE_demand_forecast!N65*Historical_Cost!#REF!,"-")</f>
        <v>-</v>
      </c>
      <c r="O174" s="81" t="str">
        <f>IFERROR(DTE_demand_forecast!O65*Historical_Cost!#REF!,"-")</f>
        <v>-</v>
      </c>
      <c r="P174" s="81" t="str">
        <f>IFERROR(DTE_demand_forecast!P65*Historical_Cost!#REF!,"-")</f>
        <v>-</v>
      </c>
      <c r="Q174" s="81" t="str">
        <f>IFERROR(DTE_demand_forecast!Q65*Historical_Cost!#REF!,"-")</f>
        <v>-</v>
      </c>
      <c r="R174" s="81" t="str">
        <f>IFERROR(DTE_demand_forecast!R65*Historical_Cost!#REF!,"-")</f>
        <v>-</v>
      </c>
      <c r="S174" s="81" t="str">
        <f>IFERROR(DTE_demand_forecast!S65*Historical_Cost!#REF!,"-")</f>
        <v>-</v>
      </c>
      <c r="T174" s="81" t="str">
        <f>IFERROR(DTE_demand_forecast!T65*Historical_Cost!#REF!,"-")</f>
        <v>-</v>
      </c>
      <c r="U174" s="81" t="str">
        <f>IFERROR(DTE_demand_forecast!U65*Historical_Cost!#REF!,"-")</f>
        <v>-</v>
      </c>
      <c r="V174" s="81" t="str">
        <f>IFERROR(DTE_demand_forecast!V65*Historical_Cost!#REF!,"-")</f>
        <v>-</v>
      </c>
    </row>
    <row r="175" spans="1:22" x14ac:dyDescent="0.3">
      <c r="A175" s="526"/>
      <c r="B175" s="33" t="s">
        <v>44</v>
      </c>
      <c r="C175" s="81" t="str">
        <f>IFERROR(DTE_demand_forecast!C66*Historical_Cost!#REF!,"-")</f>
        <v>-</v>
      </c>
      <c r="D175" s="81" t="str">
        <f>IFERROR(DTE_demand_forecast!D66*Historical_Cost!#REF!,"-")</f>
        <v>-</v>
      </c>
      <c r="E175" s="81" t="str">
        <f>IFERROR(DTE_demand_forecast!E66*Historical_Cost!#REF!,"-")</f>
        <v>-</v>
      </c>
      <c r="F175" s="81" t="str">
        <f>IFERROR(DTE_demand_forecast!F66*Historical_Cost!#REF!,"-")</f>
        <v>-</v>
      </c>
      <c r="G175" s="81" t="str">
        <f>IFERROR(DTE_demand_forecast!G66*Historical_Cost!#REF!,"-")</f>
        <v>-</v>
      </c>
      <c r="H175" s="81" t="str">
        <f>IFERROR(DTE_demand_forecast!H66*Historical_Cost!#REF!,"-")</f>
        <v>-</v>
      </c>
      <c r="I175" s="81" t="str">
        <f>IFERROR(DTE_demand_forecast!I66*Historical_Cost!#REF!,"-")</f>
        <v>-</v>
      </c>
      <c r="J175" s="81" t="str">
        <f>IFERROR(DTE_demand_forecast!J66*Historical_Cost!#REF!,"-")</f>
        <v>-</v>
      </c>
      <c r="K175" s="81" t="str">
        <f>IFERROR(DTE_demand_forecast!K66*Historical_Cost!#REF!,"-")</f>
        <v>-</v>
      </c>
      <c r="L175" s="81" t="str">
        <f>IFERROR(DTE_demand_forecast!L66*Historical_Cost!#REF!,"-")</f>
        <v>-</v>
      </c>
      <c r="M175" s="81" t="str">
        <f>IFERROR(DTE_demand_forecast!M66*Historical_Cost!#REF!,"-")</f>
        <v>-</v>
      </c>
      <c r="N175" s="81" t="str">
        <f>IFERROR(DTE_demand_forecast!N66*Historical_Cost!#REF!,"-")</f>
        <v>-</v>
      </c>
      <c r="O175" s="81" t="str">
        <f>IFERROR(DTE_demand_forecast!O66*Historical_Cost!#REF!,"-")</f>
        <v>-</v>
      </c>
      <c r="P175" s="81" t="str">
        <f>IFERROR(DTE_demand_forecast!P66*Historical_Cost!#REF!,"-")</f>
        <v>-</v>
      </c>
      <c r="Q175" s="81" t="str">
        <f>IFERROR(DTE_demand_forecast!Q66*Historical_Cost!#REF!,"-")</f>
        <v>-</v>
      </c>
      <c r="R175" s="81" t="str">
        <f>IFERROR(DTE_demand_forecast!R66*Historical_Cost!#REF!,"-")</f>
        <v>-</v>
      </c>
      <c r="S175" s="81" t="str">
        <f>IFERROR(DTE_demand_forecast!S66*Historical_Cost!#REF!,"-")</f>
        <v>-</v>
      </c>
      <c r="T175" s="81" t="str">
        <f>IFERROR(DTE_demand_forecast!T66*Historical_Cost!#REF!,"-")</f>
        <v>-</v>
      </c>
      <c r="U175" s="81" t="str">
        <f>IFERROR(DTE_demand_forecast!U66*Historical_Cost!#REF!,"-")</f>
        <v>-</v>
      </c>
      <c r="V175" s="81" t="str">
        <f>IFERROR(DTE_demand_forecast!V66*Historical_Cost!#REF!,"-")</f>
        <v>-</v>
      </c>
    </row>
    <row r="176" spans="1:22" x14ac:dyDescent="0.3">
      <c r="A176" s="526"/>
      <c r="B176" s="33" t="s">
        <v>81</v>
      </c>
      <c r="C176" s="81" t="str">
        <f>IFERROR(DTE_demand_forecast!C67*Historical_Cost!#REF!,"-")</f>
        <v>-</v>
      </c>
      <c r="D176" s="81" t="str">
        <f>IFERROR(DTE_demand_forecast!D67*Historical_Cost!#REF!,"-")</f>
        <v>-</v>
      </c>
      <c r="E176" s="81" t="str">
        <f>IFERROR(DTE_demand_forecast!E67*Historical_Cost!#REF!,"-")</f>
        <v>-</v>
      </c>
      <c r="F176" s="81" t="str">
        <f>IFERROR(DTE_demand_forecast!F67*Historical_Cost!#REF!,"-")</f>
        <v>-</v>
      </c>
      <c r="G176" s="81" t="str">
        <f>IFERROR(DTE_demand_forecast!G67*Historical_Cost!#REF!,"-")</f>
        <v>-</v>
      </c>
      <c r="H176" s="81" t="str">
        <f>IFERROR(DTE_demand_forecast!H67*Historical_Cost!#REF!,"-")</f>
        <v>-</v>
      </c>
      <c r="I176" s="81" t="str">
        <f>IFERROR(DTE_demand_forecast!I67*Historical_Cost!#REF!,"-")</f>
        <v>-</v>
      </c>
      <c r="J176" s="81" t="str">
        <f>IFERROR(DTE_demand_forecast!J67*Historical_Cost!#REF!,"-")</f>
        <v>-</v>
      </c>
      <c r="K176" s="81" t="str">
        <f>IFERROR(DTE_demand_forecast!K67*Historical_Cost!#REF!,"-")</f>
        <v>-</v>
      </c>
      <c r="L176" s="81" t="str">
        <f>IFERROR(DTE_demand_forecast!L67*Historical_Cost!#REF!,"-")</f>
        <v>-</v>
      </c>
      <c r="M176" s="81" t="str">
        <f>IFERROR(DTE_demand_forecast!M67*Historical_Cost!#REF!,"-")</f>
        <v>-</v>
      </c>
      <c r="N176" s="81" t="str">
        <f>IFERROR(DTE_demand_forecast!N67*Historical_Cost!#REF!,"-")</f>
        <v>-</v>
      </c>
      <c r="O176" s="81" t="str">
        <f>IFERROR(DTE_demand_forecast!O67*Historical_Cost!#REF!,"-")</f>
        <v>-</v>
      </c>
      <c r="P176" s="81" t="str">
        <f>IFERROR(DTE_demand_forecast!P67*Historical_Cost!#REF!,"-")</f>
        <v>-</v>
      </c>
      <c r="Q176" s="81" t="str">
        <f>IFERROR(DTE_demand_forecast!Q67*Historical_Cost!#REF!,"-")</f>
        <v>-</v>
      </c>
      <c r="R176" s="81" t="str">
        <f>IFERROR(DTE_demand_forecast!R67*Historical_Cost!#REF!,"-")</f>
        <v>-</v>
      </c>
      <c r="S176" s="81" t="str">
        <f>IFERROR(DTE_demand_forecast!S67*Historical_Cost!#REF!,"-")</f>
        <v>-</v>
      </c>
      <c r="T176" s="81" t="str">
        <f>IFERROR(DTE_demand_forecast!T67*Historical_Cost!#REF!,"-")</f>
        <v>-</v>
      </c>
      <c r="U176" s="81" t="str">
        <f>IFERROR(DTE_demand_forecast!U67*Historical_Cost!#REF!,"-")</f>
        <v>-</v>
      </c>
      <c r="V176" s="81" t="str">
        <f>IFERROR(DTE_demand_forecast!V67*Historical_Cost!#REF!,"-")</f>
        <v>-</v>
      </c>
    </row>
    <row r="177" spans="1:22" x14ac:dyDescent="0.3">
      <c r="A177" s="526"/>
      <c r="B177" s="33" t="s">
        <v>42</v>
      </c>
      <c r="C177" s="81" t="str">
        <f>IFERROR(DTE_demand_forecast!C68*Historical_Cost!#REF!,"-")</f>
        <v>-</v>
      </c>
      <c r="D177" s="81" t="str">
        <f>IFERROR(DTE_demand_forecast!D68*Historical_Cost!#REF!,"-")</f>
        <v>-</v>
      </c>
      <c r="E177" s="81" t="str">
        <f>IFERROR(DTE_demand_forecast!E68*Historical_Cost!#REF!,"-")</f>
        <v>-</v>
      </c>
      <c r="F177" s="81" t="str">
        <f>IFERROR(DTE_demand_forecast!F68*Historical_Cost!#REF!,"-")</f>
        <v>-</v>
      </c>
      <c r="G177" s="81" t="str">
        <f>IFERROR(DTE_demand_forecast!G68*Historical_Cost!#REF!,"-")</f>
        <v>-</v>
      </c>
      <c r="H177" s="81" t="str">
        <f>IFERROR(DTE_demand_forecast!H68*Historical_Cost!#REF!,"-")</f>
        <v>-</v>
      </c>
      <c r="I177" s="81" t="str">
        <f>IFERROR(DTE_demand_forecast!I68*Historical_Cost!#REF!,"-")</f>
        <v>-</v>
      </c>
      <c r="J177" s="81" t="str">
        <f>IFERROR(DTE_demand_forecast!J68*Historical_Cost!#REF!,"-")</f>
        <v>-</v>
      </c>
      <c r="K177" s="81" t="str">
        <f>IFERROR(DTE_demand_forecast!K68*Historical_Cost!#REF!,"-")</f>
        <v>-</v>
      </c>
      <c r="L177" s="81" t="str">
        <f>IFERROR(DTE_demand_forecast!L68*Historical_Cost!#REF!,"-")</f>
        <v>-</v>
      </c>
      <c r="M177" s="81" t="str">
        <f>IFERROR(DTE_demand_forecast!M68*Historical_Cost!#REF!,"-")</f>
        <v>-</v>
      </c>
      <c r="N177" s="81" t="str">
        <f>IFERROR(DTE_demand_forecast!N68*Historical_Cost!#REF!,"-")</f>
        <v>-</v>
      </c>
      <c r="O177" s="81" t="str">
        <f>IFERROR(DTE_demand_forecast!O68*Historical_Cost!#REF!,"-")</f>
        <v>-</v>
      </c>
      <c r="P177" s="81" t="str">
        <f>IFERROR(DTE_demand_forecast!P68*Historical_Cost!#REF!,"-")</f>
        <v>-</v>
      </c>
      <c r="Q177" s="81" t="str">
        <f>IFERROR(DTE_demand_forecast!Q68*Historical_Cost!#REF!,"-")</f>
        <v>-</v>
      </c>
      <c r="R177" s="81" t="str">
        <f>IFERROR(DTE_demand_forecast!R68*Historical_Cost!#REF!,"-")</f>
        <v>-</v>
      </c>
      <c r="S177" s="81" t="str">
        <f>IFERROR(DTE_demand_forecast!S68*Historical_Cost!#REF!,"-")</f>
        <v>-</v>
      </c>
      <c r="T177" s="81" t="str">
        <f>IFERROR(DTE_demand_forecast!T68*Historical_Cost!#REF!,"-")</f>
        <v>-</v>
      </c>
      <c r="U177" s="81" t="str">
        <f>IFERROR(DTE_demand_forecast!U68*Historical_Cost!#REF!,"-")</f>
        <v>-</v>
      </c>
      <c r="V177" s="81" t="str">
        <f>IFERROR(DTE_demand_forecast!V68*Historical_Cost!#REF!,"-")</f>
        <v>-</v>
      </c>
    </row>
    <row r="178" spans="1:22" x14ac:dyDescent="0.3">
      <c r="A178" s="526"/>
      <c r="B178" s="33" t="s">
        <v>45</v>
      </c>
      <c r="C178" s="81" t="str">
        <f>IFERROR(DTE_demand_forecast!C69*Historical_Cost!#REF!,"-")</f>
        <v>-</v>
      </c>
      <c r="D178" s="81" t="str">
        <f>IFERROR(DTE_demand_forecast!D69*Historical_Cost!#REF!,"-")</f>
        <v>-</v>
      </c>
      <c r="E178" s="81" t="str">
        <f>IFERROR(DTE_demand_forecast!E69*Historical_Cost!#REF!,"-")</f>
        <v>-</v>
      </c>
      <c r="F178" s="81" t="str">
        <f>IFERROR(DTE_demand_forecast!F69*Historical_Cost!#REF!,"-")</f>
        <v>-</v>
      </c>
      <c r="G178" s="81" t="str">
        <f>IFERROR(DTE_demand_forecast!G69*Historical_Cost!#REF!,"-")</f>
        <v>-</v>
      </c>
      <c r="H178" s="81" t="str">
        <f>IFERROR(DTE_demand_forecast!H69*Historical_Cost!#REF!,"-")</f>
        <v>-</v>
      </c>
      <c r="I178" s="81" t="str">
        <f>IFERROR(DTE_demand_forecast!I69*Historical_Cost!#REF!,"-")</f>
        <v>-</v>
      </c>
      <c r="J178" s="81" t="str">
        <f>IFERROR(DTE_demand_forecast!J69*Historical_Cost!#REF!,"-")</f>
        <v>-</v>
      </c>
      <c r="K178" s="81" t="str">
        <f>IFERROR(DTE_demand_forecast!K69*Historical_Cost!#REF!,"-")</f>
        <v>-</v>
      </c>
      <c r="L178" s="81" t="str">
        <f>IFERROR(DTE_demand_forecast!L69*Historical_Cost!#REF!,"-")</f>
        <v>-</v>
      </c>
      <c r="M178" s="81" t="str">
        <f>IFERROR(DTE_demand_forecast!M69*Historical_Cost!#REF!,"-")</f>
        <v>-</v>
      </c>
      <c r="N178" s="81" t="str">
        <f>IFERROR(DTE_demand_forecast!N69*Historical_Cost!#REF!,"-")</f>
        <v>-</v>
      </c>
      <c r="O178" s="81" t="str">
        <f>IFERROR(DTE_demand_forecast!O69*Historical_Cost!#REF!,"-")</f>
        <v>-</v>
      </c>
      <c r="P178" s="81" t="str">
        <f>IFERROR(DTE_demand_forecast!P69*Historical_Cost!#REF!,"-")</f>
        <v>-</v>
      </c>
      <c r="Q178" s="81" t="str">
        <f>IFERROR(DTE_demand_forecast!Q69*Historical_Cost!#REF!,"-")</f>
        <v>-</v>
      </c>
      <c r="R178" s="81" t="str">
        <f>IFERROR(DTE_demand_forecast!R69*Historical_Cost!#REF!,"-")</f>
        <v>-</v>
      </c>
      <c r="S178" s="81" t="str">
        <f>IFERROR(DTE_demand_forecast!S69*Historical_Cost!#REF!,"-")</f>
        <v>-</v>
      </c>
      <c r="T178" s="81" t="str">
        <f>IFERROR(DTE_demand_forecast!T69*Historical_Cost!#REF!,"-")</f>
        <v>-</v>
      </c>
      <c r="U178" s="81" t="str">
        <f>IFERROR(DTE_demand_forecast!U69*Historical_Cost!#REF!,"-")</f>
        <v>-</v>
      </c>
      <c r="V178" s="81" t="str">
        <f>IFERROR(DTE_demand_forecast!V69*Historical_Cost!#REF!,"-")</f>
        <v>-</v>
      </c>
    </row>
    <row r="179" spans="1:22" x14ac:dyDescent="0.3">
      <c r="A179" s="526"/>
      <c r="B179" s="34" t="s">
        <v>84</v>
      </c>
      <c r="C179" s="128">
        <f t="shared" ref="C179:V179" si="9">SUM(C171:C178)</f>
        <v>0</v>
      </c>
      <c r="D179" s="128">
        <f t="shared" si="9"/>
        <v>0</v>
      </c>
      <c r="E179" s="128">
        <f t="shared" si="9"/>
        <v>0</v>
      </c>
      <c r="F179" s="128">
        <f t="shared" si="9"/>
        <v>0</v>
      </c>
      <c r="G179" s="128">
        <f t="shared" si="9"/>
        <v>0</v>
      </c>
      <c r="H179" s="128">
        <f t="shared" si="9"/>
        <v>0</v>
      </c>
      <c r="I179" s="128">
        <f t="shared" si="9"/>
        <v>0</v>
      </c>
      <c r="J179" s="128">
        <f t="shared" si="9"/>
        <v>0</v>
      </c>
      <c r="K179" s="128">
        <f t="shared" si="9"/>
        <v>0</v>
      </c>
      <c r="L179" s="128">
        <f t="shared" si="9"/>
        <v>0</v>
      </c>
      <c r="M179" s="128">
        <f t="shared" si="9"/>
        <v>0</v>
      </c>
      <c r="N179" s="128">
        <f t="shared" si="9"/>
        <v>0</v>
      </c>
      <c r="O179" s="128">
        <f t="shared" si="9"/>
        <v>0</v>
      </c>
      <c r="P179" s="128">
        <f t="shared" si="9"/>
        <v>0</v>
      </c>
      <c r="Q179" s="128">
        <f t="shared" si="9"/>
        <v>0</v>
      </c>
      <c r="R179" s="128">
        <f t="shared" si="9"/>
        <v>0</v>
      </c>
      <c r="S179" s="128">
        <f t="shared" si="9"/>
        <v>0</v>
      </c>
      <c r="T179" s="128">
        <f t="shared" si="9"/>
        <v>0</v>
      </c>
      <c r="U179" s="128">
        <f t="shared" si="9"/>
        <v>0</v>
      </c>
      <c r="V179" s="128">
        <f t="shared" si="9"/>
        <v>0</v>
      </c>
    </row>
    <row r="180" spans="1:22" x14ac:dyDescent="0.3">
      <c r="A180" s="526"/>
      <c r="B180" s="129"/>
      <c r="C180" s="130"/>
      <c r="D180" s="130"/>
      <c r="E180" s="130"/>
      <c r="F180" s="130"/>
      <c r="G180" s="130"/>
      <c r="H180" s="130"/>
      <c r="I180" s="130"/>
      <c r="J180" s="130"/>
      <c r="K180" s="130"/>
      <c r="L180" s="130"/>
      <c r="M180" s="130"/>
      <c r="N180" s="130"/>
      <c r="O180" s="130"/>
      <c r="P180" s="130"/>
      <c r="Q180" s="130"/>
      <c r="R180" s="130"/>
      <c r="S180" s="130"/>
      <c r="T180" s="130"/>
      <c r="U180" s="130"/>
      <c r="V180" s="130"/>
    </row>
    <row r="181" spans="1:22" x14ac:dyDescent="0.3">
      <c r="A181" s="526"/>
      <c r="B181" s="129"/>
      <c r="C181" s="130"/>
      <c r="D181" s="130"/>
      <c r="E181" s="130"/>
      <c r="F181" s="130"/>
      <c r="G181" s="130"/>
      <c r="H181" s="130"/>
      <c r="I181" s="130"/>
      <c r="J181" s="130"/>
      <c r="K181" s="130"/>
      <c r="L181" s="130"/>
      <c r="M181" s="130"/>
      <c r="N181" s="130"/>
      <c r="O181" s="130"/>
      <c r="P181" s="130"/>
      <c r="Q181" s="130"/>
      <c r="R181" s="130"/>
      <c r="S181" s="130"/>
      <c r="T181" s="130"/>
      <c r="U181" s="130"/>
      <c r="V181" s="130"/>
    </row>
    <row r="182" spans="1:22" x14ac:dyDescent="0.3">
      <c r="A182" s="526"/>
      <c r="B182" s="129"/>
      <c r="C182" s="130"/>
      <c r="D182" s="130"/>
      <c r="E182" s="130"/>
      <c r="F182" s="130"/>
      <c r="G182" s="130"/>
      <c r="H182" s="130"/>
      <c r="I182" s="130"/>
      <c r="J182" s="130"/>
      <c r="K182" s="130"/>
      <c r="L182" s="130"/>
      <c r="M182" s="130"/>
      <c r="N182" s="130"/>
      <c r="O182" s="130"/>
      <c r="P182" s="130"/>
      <c r="Q182" s="130"/>
      <c r="R182" s="130"/>
      <c r="S182" s="130"/>
      <c r="T182" s="130"/>
      <c r="U182" s="130"/>
      <c r="V182" s="130"/>
    </row>
    <row r="183" spans="1:22" x14ac:dyDescent="0.3">
      <c r="A183" s="526"/>
      <c r="B183" s="129"/>
      <c r="C183" s="130"/>
      <c r="D183" s="130"/>
      <c r="E183" s="130"/>
      <c r="F183" s="130"/>
      <c r="G183" s="130"/>
      <c r="H183" s="130"/>
      <c r="I183" s="130"/>
      <c r="J183" s="130"/>
      <c r="K183" s="130"/>
      <c r="L183" s="130"/>
      <c r="M183" s="130"/>
      <c r="N183" s="130"/>
      <c r="O183" s="130"/>
      <c r="P183" s="130"/>
      <c r="Q183" s="130"/>
      <c r="R183" s="130"/>
      <c r="S183" s="130"/>
      <c r="T183" s="130"/>
      <c r="U183" s="130"/>
      <c r="V183" s="130"/>
    </row>
    <row r="184" spans="1:22" x14ac:dyDescent="0.3">
      <c r="A184" s="526"/>
      <c r="B184" s="129"/>
      <c r="C184" s="130"/>
      <c r="D184" s="130"/>
      <c r="E184" s="130"/>
      <c r="F184" s="130"/>
      <c r="G184" s="130"/>
      <c r="H184" s="130"/>
      <c r="I184" s="130"/>
      <c r="J184" s="130"/>
      <c r="K184" s="130"/>
      <c r="L184" s="130"/>
      <c r="M184" s="130"/>
      <c r="N184" s="130"/>
      <c r="O184" s="130"/>
      <c r="P184" s="130"/>
      <c r="Q184" s="130"/>
      <c r="R184" s="130"/>
      <c r="S184" s="130"/>
      <c r="T184" s="130"/>
      <c r="U184" s="130"/>
      <c r="V184" s="130"/>
    </row>
    <row r="185" spans="1:22" x14ac:dyDescent="0.3">
      <c r="A185" s="526"/>
    </row>
    <row r="186" spans="1:22" x14ac:dyDescent="0.3">
      <c r="A186" s="526"/>
    </row>
    <row r="187" spans="1:22" x14ac:dyDescent="0.3">
      <c r="A187" s="526"/>
      <c r="B187" s="35" t="s">
        <v>163</v>
      </c>
      <c r="L187" s="20"/>
      <c r="M187" s="20"/>
    </row>
    <row r="188" spans="1:22" x14ac:dyDescent="0.3">
      <c r="A188" s="526"/>
      <c r="B188" s="78" t="s">
        <v>82</v>
      </c>
      <c r="C188" s="78">
        <v>2021</v>
      </c>
      <c r="D188" s="79">
        <v>2022</v>
      </c>
      <c r="E188" s="78">
        <v>2023</v>
      </c>
      <c r="F188" s="79">
        <v>2024</v>
      </c>
      <c r="G188" s="78">
        <v>2025</v>
      </c>
      <c r="H188" s="79">
        <v>2026</v>
      </c>
      <c r="I188" s="78">
        <v>2027</v>
      </c>
      <c r="J188" s="79">
        <v>2028</v>
      </c>
      <c r="K188" s="78">
        <v>2029</v>
      </c>
      <c r="L188" s="79">
        <v>2030</v>
      </c>
      <c r="M188" s="78">
        <v>2031</v>
      </c>
      <c r="N188" s="79">
        <v>2032</v>
      </c>
      <c r="O188" s="78">
        <v>2033</v>
      </c>
      <c r="P188" s="79">
        <v>2034</v>
      </c>
      <c r="Q188" s="78">
        <v>2035</v>
      </c>
      <c r="R188" s="79">
        <v>2036</v>
      </c>
      <c r="S188" s="78">
        <v>2037</v>
      </c>
      <c r="T188" s="79">
        <v>2038</v>
      </c>
      <c r="U188" s="78">
        <v>2039</v>
      </c>
      <c r="V188" s="79">
        <v>2040</v>
      </c>
    </row>
    <row r="189" spans="1:22" x14ac:dyDescent="0.3">
      <c r="A189" s="526"/>
      <c r="B189" s="33" t="s">
        <v>43</v>
      </c>
      <c r="C189" s="81" t="str">
        <f>IFERROR(DTE_demand_forecast!C141*Historical_Cost!#REF!,"-")</f>
        <v>-</v>
      </c>
      <c r="D189" s="81" t="str">
        <f>IFERROR(DTE_demand_forecast!D141*Historical_Cost!#REF!,"-")</f>
        <v>-</v>
      </c>
      <c r="E189" s="81" t="str">
        <f>IFERROR(DTE_demand_forecast!E141*Historical_Cost!#REF!,"-")</f>
        <v>-</v>
      </c>
      <c r="F189" s="81" t="str">
        <f>IFERROR(DTE_demand_forecast!F141*Historical_Cost!#REF!,"-")</f>
        <v>-</v>
      </c>
      <c r="G189" s="81" t="str">
        <f>IFERROR(DTE_demand_forecast!G141*Historical_Cost!#REF!,"-")</f>
        <v>-</v>
      </c>
      <c r="H189" s="81" t="str">
        <f>IFERROR(DTE_demand_forecast!H141*Historical_Cost!#REF!,"-")</f>
        <v>-</v>
      </c>
      <c r="I189" s="81" t="str">
        <f>IFERROR(DTE_demand_forecast!I141*Historical_Cost!#REF!,"-")</f>
        <v>-</v>
      </c>
      <c r="J189" s="81" t="str">
        <f>IFERROR(DTE_demand_forecast!J141*Historical_Cost!#REF!,"-")</f>
        <v>-</v>
      </c>
      <c r="K189" s="81" t="str">
        <f>IFERROR(DTE_demand_forecast!K141*Historical_Cost!#REF!,"-")</f>
        <v>-</v>
      </c>
      <c r="L189" s="81" t="str">
        <f>IFERROR(DTE_demand_forecast!L141*Historical_Cost!#REF!,"-")</f>
        <v>-</v>
      </c>
      <c r="M189" s="81" t="str">
        <f>IFERROR(DTE_demand_forecast!M141*Historical_Cost!#REF!,"-")</f>
        <v>-</v>
      </c>
      <c r="N189" s="81" t="str">
        <f>IFERROR(DTE_demand_forecast!N141*Historical_Cost!#REF!,"-")</f>
        <v>-</v>
      </c>
      <c r="O189" s="81" t="str">
        <f>IFERROR(DTE_demand_forecast!O141*Historical_Cost!#REF!,"-")</f>
        <v>-</v>
      </c>
      <c r="P189" s="81" t="str">
        <f>IFERROR(DTE_demand_forecast!P141*Historical_Cost!#REF!,"-")</f>
        <v>-</v>
      </c>
      <c r="Q189" s="81" t="str">
        <f>IFERROR(DTE_demand_forecast!Q141*Historical_Cost!#REF!,"-")</f>
        <v>-</v>
      </c>
      <c r="R189" s="81" t="str">
        <f>IFERROR(DTE_demand_forecast!R141*Historical_Cost!#REF!,"-")</f>
        <v>-</v>
      </c>
      <c r="S189" s="81" t="str">
        <f>IFERROR(DTE_demand_forecast!S141*Historical_Cost!#REF!,"-")</f>
        <v>-</v>
      </c>
      <c r="T189" s="81" t="str">
        <f>IFERROR(DTE_demand_forecast!T141*Historical_Cost!#REF!,"-")</f>
        <v>-</v>
      </c>
      <c r="U189" s="81" t="str">
        <f>IFERROR(DTE_demand_forecast!U141*Historical_Cost!#REF!,"-")</f>
        <v>-</v>
      </c>
      <c r="V189" s="81" t="str">
        <f>IFERROR(DTE_demand_forecast!V141*Historical_Cost!#REF!,"-")</f>
        <v>-</v>
      </c>
    </row>
    <row r="190" spans="1:22" x14ac:dyDescent="0.3">
      <c r="A190" s="526"/>
      <c r="B190" s="33" t="s">
        <v>41</v>
      </c>
      <c r="C190" s="81" t="str">
        <f>IFERROR(DTE_demand_forecast!C142*Historical_Cost!#REF!,"-")</f>
        <v>-</v>
      </c>
      <c r="D190" s="81" t="str">
        <f>IFERROR(DTE_demand_forecast!D142*Historical_Cost!#REF!,"-")</f>
        <v>-</v>
      </c>
      <c r="E190" s="81" t="str">
        <f>IFERROR(DTE_demand_forecast!E142*Historical_Cost!#REF!,"-")</f>
        <v>-</v>
      </c>
      <c r="F190" s="81" t="str">
        <f>IFERROR(DTE_demand_forecast!F142*Historical_Cost!#REF!,"-")</f>
        <v>-</v>
      </c>
      <c r="G190" s="81" t="str">
        <f>IFERROR(DTE_demand_forecast!G142*Historical_Cost!#REF!,"-")</f>
        <v>-</v>
      </c>
      <c r="H190" s="81" t="str">
        <f>IFERROR(DTE_demand_forecast!H142*Historical_Cost!#REF!,"-")</f>
        <v>-</v>
      </c>
      <c r="I190" s="81" t="str">
        <f>IFERROR(DTE_demand_forecast!I142*Historical_Cost!#REF!,"-")</f>
        <v>-</v>
      </c>
      <c r="J190" s="81" t="str">
        <f>IFERROR(DTE_demand_forecast!J142*Historical_Cost!#REF!,"-")</f>
        <v>-</v>
      </c>
      <c r="K190" s="81" t="str">
        <f>IFERROR(DTE_demand_forecast!K142*Historical_Cost!#REF!,"-")</f>
        <v>-</v>
      </c>
      <c r="L190" s="81" t="str">
        <f>IFERROR(DTE_demand_forecast!L142*Historical_Cost!#REF!,"-")</f>
        <v>-</v>
      </c>
      <c r="M190" s="81" t="str">
        <f>IFERROR(DTE_demand_forecast!M142*Historical_Cost!#REF!,"-")</f>
        <v>-</v>
      </c>
      <c r="N190" s="81" t="str">
        <f>IFERROR(DTE_demand_forecast!N142*Historical_Cost!#REF!,"-")</f>
        <v>-</v>
      </c>
      <c r="O190" s="81" t="str">
        <f>IFERROR(DTE_demand_forecast!O142*Historical_Cost!#REF!,"-")</f>
        <v>-</v>
      </c>
      <c r="P190" s="81" t="str">
        <f>IFERROR(DTE_demand_forecast!P142*Historical_Cost!#REF!,"-")</f>
        <v>-</v>
      </c>
      <c r="Q190" s="81" t="str">
        <f>IFERROR(DTE_demand_forecast!Q142*Historical_Cost!#REF!,"-")</f>
        <v>-</v>
      </c>
      <c r="R190" s="81" t="str">
        <f>IFERROR(DTE_demand_forecast!R142*Historical_Cost!#REF!,"-")</f>
        <v>-</v>
      </c>
      <c r="S190" s="81" t="str">
        <f>IFERROR(DTE_demand_forecast!S142*Historical_Cost!#REF!,"-")</f>
        <v>-</v>
      </c>
      <c r="T190" s="81" t="str">
        <f>IFERROR(DTE_demand_forecast!T142*Historical_Cost!#REF!,"-")</f>
        <v>-</v>
      </c>
      <c r="U190" s="81" t="str">
        <f>IFERROR(DTE_demand_forecast!U142*Historical_Cost!#REF!,"-")</f>
        <v>-</v>
      </c>
      <c r="V190" s="81" t="str">
        <f>IFERROR(DTE_demand_forecast!V142*Historical_Cost!#REF!,"-")</f>
        <v>-</v>
      </c>
    </row>
    <row r="191" spans="1:22" x14ac:dyDescent="0.3">
      <c r="A191" s="526"/>
      <c r="B191" s="33" t="s">
        <v>40</v>
      </c>
      <c r="C191" s="81" t="str">
        <f>IFERROR(DTE_demand_forecast!C143*Historical_Cost!#REF!,"-")</f>
        <v>-</v>
      </c>
      <c r="D191" s="81" t="str">
        <f>IFERROR(DTE_demand_forecast!D143*Historical_Cost!#REF!,"-")</f>
        <v>-</v>
      </c>
      <c r="E191" s="81" t="str">
        <f>IFERROR(DTE_demand_forecast!E143*Historical_Cost!#REF!,"-")</f>
        <v>-</v>
      </c>
      <c r="F191" s="81" t="str">
        <f>IFERROR(DTE_demand_forecast!F143*Historical_Cost!#REF!,"-")</f>
        <v>-</v>
      </c>
      <c r="G191" s="81" t="str">
        <f>IFERROR(DTE_demand_forecast!G143*Historical_Cost!#REF!,"-")</f>
        <v>-</v>
      </c>
      <c r="H191" s="81" t="str">
        <f>IFERROR(DTE_demand_forecast!H143*Historical_Cost!#REF!,"-")</f>
        <v>-</v>
      </c>
      <c r="I191" s="81" t="str">
        <f>IFERROR(DTE_demand_forecast!I143*Historical_Cost!#REF!,"-")</f>
        <v>-</v>
      </c>
      <c r="J191" s="81" t="str">
        <f>IFERROR(DTE_demand_forecast!J143*Historical_Cost!#REF!,"-")</f>
        <v>-</v>
      </c>
      <c r="K191" s="81" t="str">
        <f>IFERROR(DTE_demand_forecast!K143*Historical_Cost!#REF!,"-")</f>
        <v>-</v>
      </c>
      <c r="L191" s="81" t="str">
        <f>IFERROR(DTE_demand_forecast!L143*Historical_Cost!#REF!,"-")</f>
        <v>-</v>
      </c>
      <c r="M191" s="81" t="str">
        <f>IFERROR(DTE_demand_forecast!M143*Historical_Cost!#REF!,"-")</f>
        <v>-</v>
      </c>
      <c r="N191" s="81" t="str">
        <f>IFERROR(DTE_demand_forecast!N143*Historical_Cost!#REF!,"-")</f>
        <v>-</v>
      </c>
      <c r="O191" s="81" t="str">
        <f>IFERROR(DTE_demand_forecast!O143*Historical_Cost!#REF!,"-")</f>
        <v>-</v>
      </c>
      <c r="P191" s="81" t="str">
        <f>IFERROR(DTE_demand_forecast!P143*Historical_Cost!#REF!,"-")</f>
        <v>-</v>
      </c>
      <c r="Q191" s="81" t="str">
        <f>IFERROR(DTE_demand_forecast!Q143*Historical_Cost!#REF!,"-")</f>
        <v>-</v>
      </c>
      <c r="R191" s="81" t="str">
        <f>IFERROR(DTE_demand_forecast!R143*Historical_Cost!#REF!,"-")</f>
        <v>-</v>
      </c>
      <c r="S191" s="81" t="str">
        <f>IFERROR(DTE_demand_forecast!S143*Historical_Cost!#REF!,"-")</f>
        <v>-</v>
      </c>
      <c r="T191" s="81" t="str">
        <f>IFERROR(DTE_demand_forecast!T143*Historical_Cost!#REF!,"-")</f>
        <v>-</v>
      </c>
      <c r="U191" s="81" t="str">
        <f>IFERROR(DTE_demand_forecast!U143*Historical_Cost!#REF!,"-")</f>
        <v>-</v>
      </c>
      <c r="V191" s="81" t="str">
        <f>IFERROR(DTE_demand_forecast!V143*Historical_Cost!#REF!,"-")</f>
        <v>-</v>
      </c>
    </row>
    <row r="192" spans="1:22" x14ac:dyDescent="0.3">
      <c r="A192" s="526"/>
      <c r="B192" s="33" t="s">
        <v>80</v>
      </c>
      <c r="C192" s="81" t="str">
        <f>IFERROR(DTE_demand_forecast!C144*Historical_Cost!#REF!,"-")</f>
        <v>-</v>
      </c>
      <c r="D192" s="81" t="str">
        <f>IFERROR(DTE_demand_forecast!D144*Historical_Cost!#REF!,"-")</f>
        <v>-</v>
      </c>
      <c r="E192" s="81" t="str">
        <f>IFERROR(DTE_demand_forecast!E144*Historical_Cost!#REF!,"-")</f>
        <v>-</v>
      </c>
      <c r="F192" s="81" t="str">
        <f>IFERROR(DTE_demand_forecast!F144*Historical_Cost!#REF!,"-")</f>
        <v>-</v>
      </c>
      <c r="G192" s="81" t="str">
        <f>IFERROR(DTE_demand_forecast!G144*Historical_Cost!#REF!,"-")</f>
        <v>-</v>
      </c>
      <c r="H192" s="81" t="str">
        <f>IFERROR(DTE_demand_forecast!H144*Historical_Cost!#REF!,"-")</f>
        <v>-</v>
      </c>
      <c r="I192" s="81" t="str">
        <f>IFERROR(DTE_demand_forecast!I144*Historical_Cost!#REF!,"-")</f>
        <v>-</v>
      </c>
      <c r="J192" s="81" t="str">
        <f>IFERROR(DTE_demand_forecast!J144*Historical_Cost!#REF!,"-")</f>
        <v>-</v>
      </c>
      <c r="K192" s="81" t="str">
        <f>IFERROR(DTE_demand_forecast!K144*Historical_Cost!#REF!,"-")</f>
        <v>-</v>
      </c>
      <c r="L192" s="81" t="str">
        <f>IFERROR(DTE_demand_forecast!L144*Historical_Cost!#REF!,"-")</f>
        <v>-</v>
      </c>
      <c r="M192" s="81" t="str">
        <f>IFERROR(DTE_demand_forecast!M144*Historical_Cost!#REF!,"-")</f>
        <v>-</v>
      </c>
      <c r="N192" s="81" t="str">
        <f>IFERROR(DTE_demand_forecast!N144*Historical_Cost!#REF!,"-")</f>
        <v>-</v>
      </c>
      <c r="O192" s="81" t="str">
        <f>IFERROR(DTE_demand_forecast!O144*Historical_Cost!#REF!,"-")</f>
        <v>-</v>
      </c>
      <c r="P192" s="81" t="str">
        <f>IFERROR(DTE_demand_forecast!P144*Historical_Cost!#REF!,"-")</f>
        <v>-</v>
      </c>
      <c r="Q192" s="81" t="str">
        <f>IFERROR(DTE_demand_forecast!Q144*Historical_Cost!#REF!,"-")</f>
        <v>-</v>
      </c>
      <c r="R192" s="81" t="str">
        <f>IFERROR(DTE_demand_forecast!R144*Historical_Cost!#REF!,"-")</f>
        <v>-</v>
      </c>
      <c r="S192" s="81" t="str">
        <f>IFERROR(DTE_demand_forecast!S144*Historical_Cost!#REF!,"-")</f>
        <v>-</v>
      </c>
      <c r="T192" s="81" t="str">
        <f>IFERROR(DTE_demand_forecast!T144*Historical_Cost!#REF!,"-")</f>
        <v>-</v>
      </c>
      <c r="U192" s="81" t="str">
        <f>IFERROR(DTE_demand_forecast!U144*Historical_Cost!#REF!,"-")</f>
        <v>-</v>
      </c>
      <c r="V192" s="81" t="str">
        <f>IFERROR(DTE_demand_forecast!V144*Historical_Cost!#REF!,"-")</f>
        <v>-</v>
      </c>
    </row>
    <row r="193" spans="1:22" x14ac:dyDescent="0.3">
      <c r="A193" s="526"/>
      <c r="B193" s="33" t="s">
        <v>44</v>
      </c>
      <c r="C193" s="81" t="str">
        <f>IFERROR(DTE_demand_forecast!C145*Historical_Cost!#REF!,"-")</f>
        <v>-</v>
      </c>
      <c r="D193" s="81" t="str">
        <f>IFERROR(DTE_demand_forecast!D145*Historical_Cost!#REF!,"-")</f>
        <v>-</v>
      </c>
      <c r="E193" s="81" t="str">
        <f>IFERROR(DTE_demand_forecast!E145*Historical_Cost!#REF!,"-")</f>
        <v>-</v>
      </c>
      <c r="F193" s="81" t="str">
        <f>IFERROR(DTE_demand_forecast!F145*Historical_Cost!#REF!,"-")</f>
        <v>-</v>
      </c>
      <c r="G193" s="81" t="str">
        <f>IFERROR(DTE_demand_forecast!G145*Historical_Cost!#REF!,"-")</f>
        <v>-</v>
      </c>
      <c r="H193" s="81" t="str">
        <f>IFERROR(DTE_demand_forecast!H145*Historical_Cost!#REF!,"-")</f>
        <v>-</v>
      </c>
      <c r="I193" s="81" t="str">
        <f>IFERROR(DTE_demand_forecast!I145*Historical_Cost!#REF!,"-")</f>
        <v>-</v>
      </c>
      <c r="J193" s="81" t="str">
        <f>IFERROR(DTE_demand_forecast!J145*Historical_Cost!#REF!,"-")</f>
        <v>-</v>
      </c>
      <c r="K193" s="81" t="str">
        <f>IFERROR(DTE_demand_forecast!K145*Historical_Cost!#REF!,"-")</f>
        <v>-</v>
      </c>
      <c r="L193" s="81" t="str">
        <f>IFERROR(DTE_demand_forecast!L145*Historical_Cost!#REF!,"-")</f>
        <v>-</v>
      </c>
      <c r="M193" s="81" t="str">
        <f>IFERROR(DTE_demand_forecast!M145*Historical_Cost!#REF!,"-")</f>
        <v>-</v>
      </c>
      <c r="N193" s="81" t="str">
        <f>IFERROR(DTE_demand_forecast!N145*Historical_Cost!#REF!,"-")</f>
        <v>-</v>
      </c>
      <c r="O193" s="81" t="str">
        <f>IFERROR(DTE_demand_forecast!O145*Historical_Cost!#REF!,"-")</f>
        <v>-</v>
      </c>
      <c r="P193" s="81" t="str">
        <f>IFERROR(DTE_demand_forecast!P145*Historical_Cost!#REF!,"-")</f>
        <v>-</v>
      </c>
      <c r="Q193" s="81" t="str">
        <f>IFERROR(DTE_demand_forecast!Q145*Historical_Cost!#REF!,"-")</f>
        <v>-</v>
      </c>
      <c r="R193" s="81" t="str">
        <f>IFERROR(DTE_demand_forecast!R145*Historical_Cost!#REF!,"-")</f>
        <v>-</v>
      </c>
      <c r="S193" s="81" t="str">
        <f>IFERROR(DTE_demand_forecast!S145*Historical_Cost!#REF!,"-")</f>
        <v>-</v>
      </c>
      <c r="T193" s="81" t="str">
        <f>IFERROR(DTE_demand_forecast!T145*Historical_Cost!#REF!,"-")</f>
        <v>-</v>
      </c>
      <c r="U193" s="81" t="str">
        <f>IFERROR(DTE_demand_forecast!U145*Historical_Cost!#REF!,"-")</f>
        <v>-</v>
      </c>
      <c r="V193" s="81" t="str">
        <f>IFERROR(DTE_demand_forecast!V145*Historical_Cost!#REF!,"-")</f>
        <v>-</v>
      </c>
    </row>
    <row r="194" spans="1:22" x14ac:dyDescent="0.3">
      <c r="A194" s="526"/>
      <c r="B194" s="33" t="s">
        <v>81</v>
      </c>
      <c r="C194" s="81" t="str">
        <f>IFERROR(DTE_demand_forecast!C146*Historical_Cost!#REF!,"-")</f>
        <v>-</v>
      </c>
      <c r="D194" s="81" t="str">
        <f>IFERROR(DTE_demand_forecast!D146*Historical_Cost!#REF!,"-")</f>
        <v>-</v>
      </c>
      <c r="E194" s="81" t="str">
        <f>IFERROR(DTE_demand_forecast!E146*Historical_Cost!#REF!,"-")</f>
        <v>-</v>
      </c>
      <c r="F194" s="81" t="str">
        <f>IFERROR(DTE_demand_forecast!F146*Historical_Cost!#REF!,"-")</f>
        <v>-</v>
      </c>
      <c r="G194" s="81" t="str">
        <f>IFERROR(DTE_demand_forecast!G146*Historical_Cost!#REF!,"-")</f>
        <v>-</v>
      </c>
      <c r="H194" s="81" t="str">
        <f>IFERROR(DTE_demand_forecast!H146*Historical_Cost!#REF!,"-")</f>
        <v>-</v>
      </c>
      <c r="I194" s="81" t="str">
        <f>IFERROR(DTE_demand_forecast!I146*Historical_Cost!#REF!,"-")</f>
        <v>-</v>
      </c>
      <c r="J194" s="81" t="str">
        <f>IFERROR(DTE_demand_forecast!J146*Historical_Cost!#REF!,"-")</f>
        <v>-</v>
      </c>
      <c r="K194" s="81" t="str">
        <f>IFERROR(DTE_demand_forecast!K146*Historical_Cost!#REF!,"-")</f>
        <v>-</v>
      </c>
      <c r="L194" s="81" t="str">
        <f>IFERROR(DTE_demand_forecast!L146*Historical_Cost!#REF!,"-")</f>
        <v>-</v>
      </c>
      <c r="M194" s="81" t="str">
        <f>IFERROR(DTE_demand_forecast!M146*Historical_Cost!#REF!,"-")</f>
        <v>-</v>
      </c>
      <c r="N194" s="81" t="str">
        <f>IFERROR(DTE_demand_forecast!N146*Historical_Cost!#REF!,"-")</f>
        <v>-</v>
      </c>
      <c r="O194" s="81" t="str">
        <f>IFERROR(DTE_demand_forecast!O146*Historical_Cost!#REF!,"-")</f>
        <v>-</v>
      </c>
      <c r="P194" s="81" t="str">
        <f>IFERROR(DTE_demand_forecast!P146*Historical_Cost!#REF!,"-")</f>
        <v>-</v>
      </c>
      <c r="Q194" s="81" t="str">
        <f>IFERROR(DTE_demand_forecast!Q146*Historical_Cost!#REF!,"-")</f>
        <v>-</v>
      </c>
      <c r="R194" s="81" t="str">
        <f>IFERROR(DTE_demand_forecast!R146*Historical_Cost!#REF!,"-")</f>
        <v>-</v>
      </c>
      <c r="S194" s="81" t="str">
        <f>IFERROR(DTE_demand_forecast!S146*Historical_Cost!#REF!,"-")</f>
        <v>-</v>
      </c>
      <c r="T194" s="81" t="str">
        <f>IFERROR(DTE_demand_forecast!T146*Historical_Cost!#REF!,"-")</f>
        <v>-</v>
      </c>
      <c r="U194" s="81" t="str">
        <f>IFERROR(DTE_demand_forecast!U146*Historical_Cost!#REF!,"-")</f>
        <v>-</v>
      </c>
      <c r="V194" s="81" t="str">
        <f>IFERROR(DTE_demand_forecast!V146*Historical_Cost!#REF!,"-")</f>
        <v>-</v>
      </c>
    </row>
    <row r="195" spans="1:22" x14ac:dyDescent="0.3">
      <c r="A195" s="526"/>
      <c r="B195" s="33" t="s">
        <v>42</v>
      </c>
      <c r="C195" s="81" t="str">
        <f>IFERROR(DTE_demand_forecast!C147*Historical_Cost!#REF!,"-")</f>
        <v>-</v>
      </c>
      <c r="D195" s="81" t="str">
        <f>IFERROR(DTE_demand_forecast!D147*Historical_Cost!#REF!,"-")</f>
        <v>-</v>
      </c>
      <c r="E195" s="81" t="str">
        <f>IFERROR(DTE_demand_forecast!E147*Historical_Cost!#REF!,"-")</f>
        <v>-</v>
      </c>
      <c r="F195" s="81" t="str">
        <f>IFERROR(DTE_demand_forecast!F147*Historical_Cost!#REF!,"-")</f>
        <v>-</v>
      </c>
      <c r="G195" s="81" t="str">
        <f>IFERROR(DTE_demand_forecast!G147*Historical_Cost!#REF!,"-")</f>
        <v>-</v>
      </c>
      <c r="H195" s="81" t="str">
        <f>IFERROR(DTE_demand_forecast!H147*Historical_Cost!#REF!,"-")</f>
        <v>-</v>
      </c>
      <c r="I195" s="81" t="str">
        <f>IFERROR(DTE_demand_forecast!I147*Historical_Cost!#REF!,"-")</f>
        <v>-</v>
      </c>
      <c r="J195" s="81" t="str">
        <f>IFERROR(DTE_demand_forecast!J147*Historical_Cost!#REF!,"-")</f>
        <v>-</v>
      </c>
      <c r="K195" s="81" t="str">
        <f>IFERROR(DTE_demand_forecast!K147*Historical_Cost!#REF!,"-")</f>
        <v>-</v>
      </c>
      <c r="L195" s="81" t="str">
        <f>IFERROR(DTE_demand_forecast!L147*Historical_Cost!#REF!,"-")</f>
        <v>-</v>
      </c>
      <c r="M195" s="81" t="str">
        <f>IFERROR(DTE_demand_forecast!M147*Historical_Cost!#REF!,"-")</f>
        <v>-</v>
      </c>
      <c r="N195" s="81" t="str">
        <f>IFERROR(DTE_demand_forecast!N147*Historical_Cost!#REF!,"-")</f>
        <v>-</v>
      </c>
      <c r="O195" s="81" t="str">
        <f>IFERROR(DTE_demand_forecast!O147*Historical_Cost!#REF!,"-")</f>
        <v>-</v>
      </c>
      <c r="P195" s="81" t="str">
        <f>IFERROR(DTE_demand_forecast!P147*Historical_Cost!#REF!,"-")</f>
        <v>-</v>
      </c>
      <c r="Q195" s="81" t="str">
        <f>IFERROR(DTE_demand_forecast!Q147*Historical_Cost!#REF!,"-")</f>
        <v>-</v>
      </c>
      <c r="R195" s="81" t="str">
        <f>IFERROR(DTE_demand_forecast!R147*Historical_Cost!#REF!,"-")</f>
        <v>-</v>
      </c>
      <c r="S195" s="81" t="str">
        <f>IFERROR(DTE_demand_forecast!S147*Historical_Cost!#REF!,"-")</f>
        <v>-</v>
      </c>
      <c r="T195" s="81" t="str">
        <f>IFERROR(DTE_demand_forecast!T147*Historical_Cost!#REF!,"-")</f>
        <v>-</v>
      </c>
      <c r="U195" s="81" t="str">
        <f>IFERROR(DTE_demand_forecast!U147*Historical_Cost!#REF!,"-")</f>
        <v>-</v>
      </c>
      <c r="V195" s="81" t="str">
        <f>IFERROR(DTE_demand_forecast!V147*Historical_Cost!#REF!,"-")</f>
        <v>-</v>
      </c>
    </row>
    <row r="196" spans="1:22" x14ac:dyDescent="0.3">
      <c r="A196" s="526"/>
      <c r="B196" s="33" t="s">
        <v>45</v>
      </c>
      <c r="C196" s="81" t="str">
        <f>IFERROR(DTE_demand_forecast!C148*Historical_Cost!#REF!,"-")</f>
        <v>-</v>
      </c>
      <c r="D196" s="81" t="str">
        <f>IFERROR(DTE_demand_forecast!D148*Historical_Cost!#REF!,"-")</f>
        <v>-</v>
      </c>
      <c r="E196" s="81" t="str">
        <f>IFERROR(DTE_demand_forecast!E148*Historical_Cost!#REF!,"-")</f>
        <v>-</v>
      </c>
      <c r="F196" s="81" t="str">
        <f>IFERROR(DTE_demand_forecast!F148*Historical_Cost!#REF!,"-")</f>
        <v>-</v>
      </c>
      <c r="G196" s="81" t="str">
        <f>IFERROR(DTE_demand_forecast!G148*Historical_Cost!#REF!,"-")</f>
        <v>-</v>
      </c>
      <c r="H196" s="81" t="str">
        <f>IFERROR(DTE_demand_forecast!H148*Historical_Cost!#REF!,"-")</f>
        <v>-</v>
      </c>
      <c r="I196" s="81" t="str">
        <f>IFERROR(DTE_demand_forecast!I148*Historical_Cost!#REF!,"-")</f>
        <v>-</v>
      </c>
      <c r="J196" s="81" t="str">
        <f>IFERROR(DTE_demand_forecast!J148*Historical_Cost!#REF!,"-")</f>
        <v>-</v>
      </c>
      <c r="K196" s="81" t="str">
        <f>IFERROR(DTE_demand_forecast!K148*Historical_Cost!#REF!,"-")</f>
        <v>-</v>
      </c>
      <c r="L196" s="81" t="str">
        <f>IFERROR(DTE_demand_forecast!L148*Historical_Cost!#REF!,"-")</f>
        <v>-</v>
      </c>
      <c r="M196" s="81" t="str">
        <f>IFERROR(DTE_demand_forecast!M148*Historical_Cost!#REF!,"-")</f>
        <v>-</v>
      </c>
      <c r="N196" s="81" t="str">
        <f>IFERROR(DTE_demand_forecast!N148*Historical_Cost!#REF!,"-")</f>
        <v>-</v>
      </c>
      <c r="O196" s="81" t="str">
        <f>IFERROR(DTE_demand_forecast!O148*Historical_Cost!#REF!,"-")</f>
        <v>-</v>
      </c>
      <c r="P196" s="81" t="str">
        <f>IFERROR(DTE_demand_forecast!P148*Historical_Cost!#REF!,"-")</f>
        <v>-</v>
      </c>
      <c r="Q196" s="81" t="str">
        <f>IFERROR(DTE_demand_forecast!Q148*Historical_Cost!#REF!,"-")</f>
        <v>-</v>
      </c>
      <c r="R196" s="81" t="str">
        <f>IFERROR(DTE_demand_forecast!R148*Historical_Cost!#REF!,"-")</f>
        <v>-</v>
      </c>
      <c r="S196" s="81" t="str">
        <f>IFERROR(DTE_demand_forecast!S148*Historical_Cost!#REF!,"-")</f>
        <v>-</v>
      </c>
      <c r="T196" s="81" t="str">
        <f>IFERROR(DTE_demand_forecast!T148*Historical_Cost!#REF!,"-")</f>
        <v>-</v>
      </c>
      <c r="U196" s="81" t="str">
        <f>IFERROR(DTE_demand_forecast!U148*Historical_Cost!#REF!,"-")</f>
        <v>-</v>
      </c>
      <c r="V196" s="81" t="str">
        <f>IFERROR(DTE_demand_forecast!V148*Historical_Cost!#REF!,"-")</f>
        <v>-</v>
      </c>
    </row>
    <row r="197" spans="1:22" x14ac:dyDescent="0.3">
      <c r="A197" s="526"/>
      <c r="B197" s="33" t="s">
        <v>84</v>
      </c>
      <c r="C197" s="128">
        <f t="shared" ref="C197:V197" si="10">SUM(C189:C196)</f>
        <v>0</v>
      </c>
      <c r="D197" s="128">
        <f t="shared" si="10"/>
        <v>0</v>
      </c>
      <c r="E197" s="128">
        <f t="shared" si="10"/>
        <v>0</v>
      </c>
      <c r="F197" s="128">
        <f t="shared" si="10"/>
        <v>0</v>
      </c>
      <c r="G197" s="128">
        <f t="shared" si="10"/>
        <v>0</v>
      </c>
      <c r="H197" s="128">
        <f t="shared" si="10"/>
        <v>0</v>
      </c>
      <c r="I197" s="128">
        <f t="shared" si="10"/>
        <v>0</v>
      </c>
      <c r="J197" s="128">
        <f t="shared" si="10"/>
        <v>0</v>
      </c>
      <c r="K197" s="128">
        <f t="shared" si="10"/>
        <v>0</v>
      </c>
      <c r="L197" s="128">
        <f t="shared" si="10"/>
        <v>0</v>
      </c>
      <c r="M197" s="128">
        <f t="shared" si="10"/>
        <v>0</v>
      </c>
      <c r="N197" s="128">
        <f t="shared" si="10"/>
        <v>0</v>
      </c>
      <c r="O197" s="128">
        <f t="shared" si="10"/>
        <v>0</v>
      </c>
      <c r="P197" s="128">
        <f t="shared" si="10"/>
        <v>0</v>
      </c>
      <c r="Q197" s="128">
        <f t="shared" si="10"/>
        <v>0</v>
      </c>
      <c r="R197" s="128">
        <f t="shared" si="10"/>
        <v>0</v>
      </c>
      <c r="S197" s="128">
        <f t="shared" si="10"/>
        <v>0</v>
      </c>
      <c r="T197" s="128">
        <f t="shared" si="10"/>
        <v>0</v>
      </c>
      <c r="U197" s="128">
        <f t="shared" si="10"/>
        <v>0</v>
      </c>
      <c r="V197" s="128">
        <f t="shared" si="10"/>
        <v>0</v>
      </c>
    </row>
    <row r="198" spans="1:22" x14ac:dyDescent="0.3">
      <c r="A198" s="526"/>
    </row>
    <row r="199" spans="1:22" x14ac:dyDescent="0.3">
      <c r="A199" s="526"/>
    </row>
    <row r="200" spans="1:22" x14ac:dyDescent="0.3">
      <c r="A200" s="526"/>
    </row>
    <row r="201" spans="1:22" x14ac:dyDescent="0.3">
      <c r="A201" s="526"/>
    </row>
    <row r="202" spans="1:22" x14ac:dyDescent="0.3">
      <c r="A202" s="526"/>
    </row>
    <row r="203" spans="1:22" x14ac:dyDescent="0.3">
      <c r="A203" s="526"/>
    </row>
    <row r="204" spans="1:22" x14ac:dyDescent="0.3">
      <c r="A204" s="526"/>
    </row>
    <row r="205" spans="1:22" x14ac:dyDescent="0.3">
      <c r="A205" s="526"/>
      <c r="B205" s="35" t="s">
        <v>164</v>
      </c>
      <c r="L205" s="20"/>
      <c r="M205" s="20"/>
    </row>
    <row r="206" spans="1:22" x14ac:dyDescent="0.3">
      <c r="A206" s="526"/>
      <c r="B206" s="78" t="s">
        <v>82</v>
      </c>
      <c r="C206" s="78">
        <v>2021</v>
      </c>
      <c r="D206" s="79">
        <v>2022</v>
      </c>
      <c r="E206" s="78">
        <v>2023</v>
      </c>
      <c r="F206" s="79">
        <v>2024</v>
      </c>
      <c r="G206" s="78">
        <v>2025</v>
      </c>
      <c r="H206" s="79">
        <v>2026</v>
      </c>
      <c r="I206" s="78">
        <v>2027</v>
      </c>
      <c r="J206" s="79">
        <v>2028</v>
      </c>
      <c r="K206" s="78">
        <v>2029</v>
      </c>
      <c r="L206" s="79">
        <v>2030</v>
      </c>
      <c r="M206" s="78">
        <v>2031</v>
      </c>
      <c r="N206" s="79">
        <v>2032</v>
      </c>
      <c r="O206" s="78">
        <v>2033</v>
      </c>
      <c r="P206" s="79">
        <v>2034</v>
      </c>
      <c r="Q206" s="78">
        <v>2035</v>
      </c>
      <c r="R206" s="79">
        <v>2036</v>
      </c>
      <c r="S206" s="78">
        <v>2037</v>
      </c>
      <c r="T206" s="79">
        <v>2038</v>
      </c>
      <c r="U206" s="78">
        <v>2039</v>
      </c>
      <c r="V206" s="79">
        <v>2040</v>
      </c>
    </row>
    <row r="207" spans="1:22" x14ac:dyDescent="0.3">
      <c r="A207" s="526"/>
      <c r="B207" s="33" t="s">
        <v>43</v>
      </c>
      <c r="C207" s="81" t="str">
        <f>IFERROR(DTE_demand_forecast!C220*Historical_Cost!#REF!,"-")</f>
        <v>-</v>
      </c>
      <c r="D207" s="81" t="str">
        <f>IFERROR(DTE_demand_forecast!D220*Historical_Cost!#REF!,"-")</f>
        <v>-</v>
      </c>
      <c r="E207" s="81" t="str">
        <f>IFERROR(DTE_demand_forecast!E220*Historical_Cost!#REF!,"-")</f>
        <v>-</v>
      </c>
      <c r="F207" s="81" t="str">
        <f>IFERROR(DTE_demand_forecast!F220*Historical_Cost!#REF!,"-")</f>
        <v>-</v>
      </c>
      <c r="G207" s="81" t="str">
        <f>IFERROR(DTE_demand_forecast!G220*Historical_Cost!#REF!,"-")</f>
        <v>-</v>
      </c>
      <c r="H207" s="81" t="str">
        <f>IFERROR(DTE_demand_forecast!H220*Historical_Cost!#REF!,"-")</f>
        <v>-</v>
      </c>
      <c r="I207" s="81" t="str">
        <f>IFERROR(DTE_demand_forecast!I220*Historical_Cost!#REF!,"-")</f>
        <v>-</v>
      </c>
      <c r="J207" s="81" t="str">
        <f>IFERROR(DTE_demand_forecast!J220*Historical_Cost!#REF!,"-")</f>
        <v>-</v>
      </c>
      <c r="K207" s="81" t="str">
        <f>IFERROR(DTE_demand_forecast!K220*Historical_Cost!#REF!,"-")</f>
        <v>-</v>
      </c>
      <c r="L207" s="81" t="str">
        <f>IFERROR(DTE_demand_forecast!L220*Historical_Cost!#REF!,"-")</f>
        <v>-</v>
      </c>
      <c r="M207" s="81" t="str">
        <f>IFERROR(DTE_demand_forecast!M220*Historical_Cost!#REF!,"-")</f>
        <v>-</v>
      </c>
      <c r="N207" s="81" t="str">
        <f>IFERROR(DTE_demand_forecast!N220*Historical_Cost!#REF!,"-")</f>
        <v>-</v>
      </c>
      <c r="O207" s="81" t="str">
        <f>IFERROR(DTE_demand_forecast!O220*Historical_Cost!#REF!,"-")</f>
        <v>-</v>
      </c>
      <c r="P207" s="81" t="str">
        <f>IFERROR(DTE_demand_forecast!P220*Historical_Cost!#REF!,"-")</f>
        <v>-</v>
      </c>
      <c r="Q207" s="81" t="str">
        <f>IFERROR(DTE_demand_forecast!Q220*Historical_Cost!#REF!,"-")</f>
        <v>-</v>
      </c>
      <c r="R207" s="81" t="str">
        <f>IFERROR(DTE_demand_forecast!R220*Historical_Cost!#REF!,"-")</f>
        <v>-</v>
      </c>
      <c r="S207" s="81" t="str">
        <f>IFERROR(DTE_demand_forecast!S220*Historical_Cost!#REF!,"-")</f>
        <v>-</v>
      </c>
      <c r="T207" s="81" t="str">
        <f>IFERROR(DTE_demand_forecast!T220*Historical_Cost!#REF!,"-")</f>
        <v>-</v>
      </c>
      <c r="U207" s="81" t="str">
        <f>IFERROR(DTE_demand_forecast!U220*Historical_Cost!#REF!,"-")</f>
        <v>-</v>
      </c>
      <c r="V207" s="81" t="str">
        <f>IFERROR(DTE_demand_forecast!V220*Historical_Cost!#REF!,"-")</f>
        <v>-</v>
      </c>
    </row>
    <row r="208" spans="1:22" x14ac:dyDescent="0.3">
      <c r="A208" s="526"/>
      <c r="B208" s="33" t="s">
        <v>41</v>
      </c>
      <c r="C208" s="81" t="str">
        <f>IFERROR(DTE_demand_forecast!C221*Historical_Cost!#REF!,"-")</f>
        <v>-</v>
      </c>
      <c r="D208" s="81" t="str">
        <f>IFERROR(DTE_demand_forecast!D221*Historical_Cost!#REF!,"-")</f>
        <v>-</v>
      </c>
      <c r="E208" s="81" t="str">
        <f>IFERROR(DTE_demand_forecast!E221*Historical_Cost!#REF!,"-")</f>
        <v>-</v>
      </c>
      <c r="F208" s="81" t="str">
        <f>IFERROR(DTE_demand_forecast!F221*Historical_Cost!#REF!,"-")</f>
        <v>-</v>
      </c>
      <c r="G208" s="81" t="str">
        <f>IFERROR(DTE_demand_forecast!G221*Historical_Cost!#REF!,"-")</f>
        <v>-</v>
      </c>
      <c r="H208" s="81" t="str">
        <f>IFERROR(DTE_demand_forecast!H221*Historical_Cost!#REF!,"-")</f>
        <v>-</v>
      </c>
      <c r="I208" s="81" t="str">
        <f>IFERROR(DTE_demand_forecast!I221*Historical_Cost!#REF!,"-")</f>
        <v>-</v>
      </c>
      <c r="J208" s="81" t="str">
        <f>IFERROR(DTE_demand_forecast!J221*Historical_Cost!#REF!,"-")</f>
        <v>-</v>
      </c>
      <c r="K208" s="81" t="str">
        <f>IFERROR(DTE_demand_forecast!K221*Historical_Cost!#REF!,"-")</f>
        <v>-</v>
      </c>
      <c r="L208" s="81" t="str">
        <f>IFERROR(DTE_demand_forecast!L221*Historical_Cost!#REF!,"-")</f>
        <v>-</v>
      </c>
      <c r="M208" s="81" t="str">
        <f>IFERROR(DTE_demand_forecast!M221*Historical_Cost!#REF!,"-")</f>
        <v>-</v>
      </c>
      <c r="N208" s="81" t="str">
        <f>IFERROR(DTE_demand_forecast!N221*Historical_Cost!#REF!,"-")</f>
        <v>-</v>
      </c>
      <c r="O208" s="81" t="str">
        <f>IFERROR(DTE_demand_forecast!O221*Historical_Cost!#REF!,"-")</f>
        <v>-</v>
      </c>
      <c r="P208" s="81" t="str">
        <f>IFERROR(DTE_demand_forecast!P221*Historical_Cost!#REF!,"-")</f>
        <v>-</v>
      </c>
      <c r="Q208" s="81" t="str">
        <f>IFERROR(DTE_demand_forecast!Q221*Historical_Cost!#REF!,"-")</f>
        <v>-</v>
      </c>
      <c r="R208" s="81" t="str">
        <f>IFERROR(DTE_demand_forecast!R221*Historical_Cost!#REF!,"-")</f>
        <v>-</v>
      </c>
      <c r="S208" s="81" t="str">
        <f>IFERROR(DTE_demand_forecast!S221*Historical_Cost!#REF!,"-")</f>
        <v>-</v>
      </c>
      <c r="T208" s="81" t="str">
        <f>IFERROR(DTE_demand_forecast!T221*Historical_Cost!#REF!,"-")</f>
        <v>-</v>
      </c>
      <c r="U208" s="81" t="str">
        <f>IFERROR(DTE_demand_forecast!U221*Historical_Cost!#REF!,"-")</f>
        <v>-</v>
      </c>
      <c r="V208" s="81" t="str">
        <f>IFERROR(DTE_demand_forecast!V221*Historical_Cost!#REF!,"-")</f>
        <v>-</v>
      </c>
    </row>
    <row r="209" spans="1:22" x14ac:dyDescent="0.3">
      <c r="A209" s="526"/>
      <c r="B209" s="33" t="s">
        <v>40</v>
      </c>
      <c r="C209" s="81" t="str">
        <f>IFERROR(DTE_demand_forecast!C222*Historical_Cost!#REF!,"-")</f>
        <v>-</v>
      </c>
      <c r="D209" s="81" t="str">
        <f>IFERROR(DTE_demand_forecast!D222*Historical_Cost!#REF!,"-")</f>
        <v>-</v>
      </c>
      <c r="E209" s="81" t="str">
        <f>IFERROR(DTE_demand_forecast!E222*Historical_Cost!#REF!,"-")</f>
        <v>-</v>
      </c>
      <c r="F209" s="81" t="str">
        <f>IFERROR(DTE_demand_forecast!F222*Historical_Cost!#REF!,"-")</f>
        <v>-</v>
      </c>
      <c r="G209" s="81" t="str">
        <f>IFERROR(DTE_demand_forecast!G222*Historical_Cost!#REF!,"-")</f>
        <v>-</v>
      </c>
      <c r="H209" s="81" t="str">
        <f>IFERROR(DTE_demand_forecast!H222*Historical_Cost!#REF!,"-")</f>
        <v>-</v>
      </c>
      <c r="I209" s="81" t="str">
        <f>IFERROR(DTE_demand_forecast!I222*Historical_Cost!#REF!,"-")</f>
        <v>-</v>
      </c>
      <c r="J209" s="81" t="str">
        <f>IFERROR(DTE_demand_forecast!J222*Historical_Cost!#REF!,"-")</f>
        <v>-</v>
      </c>
      <c r="K209" s="81" t="str">
        <f>IFERROR(DTE_demand_forecast!K222*Historical_Cost!#REF!,"-")</f>
        <v>-</v>
      </c>
      <c r="L209" s="81" t="str">
        <f>IFERROR(DTE_demand_forecast!L222*Historical_Cost!#REF!,"-")</f>
        <v>-</v>
      </c>
      <c r="M209" s="81" t="str">
        <f>IFERROR(DTE_demand_forecast!M222*Historical_Cost!#REF!,"-")</f>
        <v>-</v>
      </c>
      <c r="N209" s="81" t="str">
        <f>IFERROR(DTE_demand_forecast!N222*Historical_Cost!#REF!,"-")</f>
        <v>-</v>
      </c>
      <c r="O209" s="81" t="str">
        <f>IFERROR(DTE_demand_forecast!O222*Historical_Cost!#REF!,"-")</f>
        <v>-</v>
      </c>
      <c r="P209" s="81" t="str">
        <f>IFERROR(DTE_demand_forecast!P222*Historical_Cost!#REF!,"-")</f>
        <v>-</v>
      </c>
      <c r="Q209" s="81" t="str">
        <f>IFERROR(DTE_demand_forecast!Q222*Historical_Cost!#REF!,"-")</f>
        <v>-</v>
      </c>
      <c r="R209" s="81" t="str">
        <f>IFERROR(DTE_demand_forecast!R222*Historical_Cost!#REF!,"-")</f>
        <v>-</v>
      </c>
      <c r="S209" s="81" t="str">
        <f>IFERROR(DTE_demand_forecast!S222*Historical_Cost!#REF!,"-")</f>
        <v>-</v>
      </c>
      <c r="T209" s="81" t="str">
        <f>IFERROR(DTE_demand_forecast!T222*Historical_Cost!#REF!,"-")</f>
        <v>-</v>
      </c>
      <c r="U209" s="81" t="str">
        <f>IFERROR(DTE_demand_forecast!U222*Historical_Cost!#REF!,"-")</f>
        <v>-</v>
      </c>
      <c r="V209" s="81" t="str">
        <f>IFERROR(DTE_demand_forecast!V222*Historical_Cost!#REF!,"-")</f>
        <v>-</v>
      </c>
    </row>
    <row r="210" spans="1:22" x14ac:dyDescent="0.3">
      <c r="A210" s="526"/>
      <c r="B210" s="33" t="s">
        <v>80</v>
      </c>
      <c r="C210" s="81" t="str">
        <f>IFERROR(DTE_demand_forecast!C223*Historical_Cost!#REF!,"-")</f>
        <v>-</v>
      </c>
      <c r="D210" s="81" t="str">
        <f>IFERROR(DTE_demand_forecast!D223*Historical_Cost!#REF!,"-")</f>
        <v>-</v>
      </c>
      <c r="E210" s="81" t="str">
        <f>IFERROR(DTE_demand_forecast!E223*Historical_Cost!#REF!,"-")</f>
        <v>-</v>
      </c>
      <c r="F210" s="81" t="str">
        <f>IFERROR(DTE_demand_forecast!F223*Historical_Cost!#REF!,"-")</f>
        <v>-</v>
      </c>
      <c r="G210" s="81" t="str">
        <f>IFERROR(DTE_demand_forecast!G223*Historical_Cost!#REF!,"-")</f>
        <v>-</v>
      </c>
      <c r="H210" s="81" t="str">
        <f>IFERROR(DTE_demand_forecast!H223*Historical_Cost!#REF!,"-")</f>
        <v>-</v>
      </c>
      <c r="I210" s="81" t="str">
        <f>IFERROR(DTE_demand_forecast!I223*Historical_Cost!#REF!,"-")</f>
        <v>-</v>
      </c>
      <c r="J210" s="81" t="str">
        <f>IFERROR(DTE_demand_forecast!J223*Historical_Cost!#REF!,"-")</f>
        <v>-</v>
      </c>
      <c r="K210" s="81" t="str">
        <f>IFERROR(DTE_demand_forecast!K223*Historical_Cost!#REF!,"-")</f>
        <v>-</v>
      </c>
      <c r="L210" s="81" t="str">
        <f>IFERROR(DTE_demand_forecast!L223*Historical_Cost!#REF!,"-")</f>
        <v>-</v>
      </c>
      <c r="M210" s="81" t="str">
        <f>IFERROR(DTE_demand_forecast!M223*Historical_Cost!#REF!,"-")</f>
        <v>-</v>
      </c>
      <c r="N210" s="81" t="str">
        <f>IFERROR(DTE_demand_forecast!N223*Historical_Cost!#REF!,"-")</f>
        <v>-</v>
      </c>
      <c r="O210" s="81" t="str">
        <f>IFERROR(DTE_demand_forecast!O223*Historical_Cost!#REF!,"-")</f>
        <v>-</v>
      </c>
      <c r="P210" s="81" t="str">
        <f>IFERROR(DTE_demand_forecast!P223*Historical_Cost!#REF!,"-")</f>
        <v>-</v>
      </c>
      <c r="Q210" s="81" t="str">
        <f>IFERROR(DTE_demand_forecast!Q223*Historical_Cost!#REF!,"-")</f>
        <v>-</v>
      </c>
      <c r="R210" s="81" t="str">
        <f>IFERROR(DTE_demand_forecast!R223*Historical_Cost!#REF!,"-")</f>
        <v>-</v>
      </c>
      <c r="S210" s="81" t="str">
        <f>IFERROR(DTE_demand_forecast!S223*Historical_Cost!#REF!,"-")</f>
        <v>-</v>
      </c>
      <c r="T210" s="81" t="str">
        <f>IFERROR(DTE_demand_forecast!T223*Historical_Cost!#REF!,"-")</f>
        <v>-</v>
      </c>
      <c r="U210" s="81" t="str">
        <f>IFERROR(DTE_demand_forecast!U223*Historical_Cost!#REF!,"-")</f>
        <v>-</v>
      </c>
      <c r="V210" s="81" t="str">
        <f>IFERROR(DTE_demand_forecast!V223*Historical_Cost!#REF!,"-")</f>
        <v>-</v>
      </c>
    </row>
    <row r="211" spans="1:22" x14ac:dyDescent="0.3">
      <c r="A211" s="526"/>
      <c r="B211" s="33" t="s">
        <v>44</v>
      </c>
      <c r="C211" s="81" t="str">
        <f>IFERROR(DTE_demand_forecast!C224*Historical_Cost!#REF!,"-")</f>
        <v>-</v>
      </c>
      <c r="D211" s="81" t="str">
        <f>IFERROR(DTE_demand_forecast!D224*Historical_Cost!#REF!,"-")</f>
        <v>-</v>
      </c>
      <c r="E211" s="81" t="str">
        <f>IFERROR(DTE_demand_forecast!E224*Historical_Cost!#REF!,"-")</f>
        <v>-</v>
      </c>
      <c r="F211" s="81" t="str">
        <f>IFERROR(DTE_demand_forecast!F224*Historical_Cost!#REF!,"-")</f>
        <v>-</v>
      </c>
      <c r="G211" s="81" t="str">
        <f>IFERROR(DTE_demand_forecast!G224*Historical_Cost!#REF!,"-")</f>
        <v>-</v>
      </c>
      <c r="H211" s="81" t="str">
        <f>IFERROR(DTE_demand_forecast!H224*Historical_Cost!#REF!,"-")</f>
        <v>-</v>
      </c>
      <c r="I211" s="81" t="str">
        <f>IFERROR(DTE_demand_forecast!I224*Historical_Cost!#REF!,"-")</f>
        <v>-</v>
      </c>
      <c r="J211" s="81" t="str">
        <f>IFERROR(DTE_demand_forecast!J224*Historical_Cost!#REF!,"-")</f>
        <v>-</v>
      </c>
      <c r="K211" s="81" t="str">
        <f>IFERROR(DTE_demand_forecast!K224*Historical_Cost!#REF!,"-")</f>
        <v>-</v>
      </c>
      <c r="L211" s="81" t="str">
        <f>IFERROR(DTE_demand_forecast!L224*Historical_Cost!#REF!,"-")</f>
        <v>-</v>
      </c>
      <c r="M211" s="81" t="str">
        <f>IFERROR(DTE_demand_forecast!M224*Historical_Cost!#REF!,"-")</f>
        <v>-</v>
      </c>
      <c r="N211" s="81" t="str">
        <f>IFERROR(DTE_demand_forecast!N224*Historical_Cost!#REF!,"-")</f>
        <v>-</v>
      </c>
      <c r="O211" s="81" t="str">
        <f>IFERROR(DTE_demand_forecast!O224*Historical_Cost!#REF!,"-")</f>
        <v>-</v>
      </c>
      <c r="P211" s="81" t="str">
        <f>IFERROR(DTE_demand_forecast!P224*Historical_Cost!#REF!,"-")</f>
        <v>-</v>
      </c>
      <c r="Q211" s="81" t="str">
        <f>IFERROR(DTE_demand_forecast!Q224*Historical_Cost!#REF!,"-")</f>
        <v>-</v>
      </c>
      <c r="R211" s="81" t="str">
        <f>IFERROR(DTE_demand_forecast!R224*Historical_Cost!#REF!,"-")</f>
        <v>-</v>
      </c>
      <c r="S211" s="81" t="str">
        <f>IFERROR(DTE_demand_forecast!S224*Historical_Cost!#REF!,"-")</f>
        <v>-</v>
      </c>
      <c r="T211" s="81" t="str">
        <f>IFERROR(DTE_demand_forecast!T224*Historical_Cost!#REF!,"-")</f>
        <v>-</v>
      </c>
      <c r="U211" s="81" t="str">
        <f>IFERROR(DTE_demand_forecast!U224*Historical_Cost!#REF!,"-")</f>
        <v>-</v>
      </c>
      <c r="V211" s="81" t="str">
        <f>IFERROR(DTE_demand_forecast!V224*Historical_Cost!#REF!,"-")</f>
        <v>-</v>
      </c>
    </row>
    <row r="212" spans="1:22" x14ac:dyDescent="0.3">
      <c r="A212" s="526"/>
      <c r="B212" s="33" t="s">
        <v>81</v>
      </c>
      <c r="C212" s="81" t="str">
        <f>IFERROR(DTE_demand_forecast!C225*Historical_Cost!#REF!,"-")</f>
        <v>-</v>
      </c>
      <c r="D212" s="81" t="str">
        <f>IFERROR(DTE_demand_forecast!D225*Historical_Cost!#REF!,"-")</f>
        <v>-</v>
      </c>
      <c r="E212" s="81" t="str">
        <f>IFERROR(DTE_demand_forecast!E225*Historical_Cost!#REF!,"-")</f>
        <v>-</v>
      </c>
      <c r="F212" s="81" t="str">
        <f>IFERROR(DTE_demand_forecast!F225*Historical_Cost!#REF!,"-")</f>
        <v>-</v>
      </c>
      <c r="G212" s="81" t="str">
        <f>IFERROR(DTE_demand_forecast!G225*Historical_Cost!#REF!,"-")</f>
        <v>-</v>
      </c>
      <c r="H212" s="81" t="str">
        <f>IFERROR(DTE_demand_forecast!H225*Historical_Cost!#REF!,"-")</f>
        <v>-</v>
      </c>
      <c r="I212" s="81" t="str">
        <f>IFERROR(DTE_demand_forecast!I225*Historical_Cost!#REF!,"-")</f>
        <v>-</v>
      </c>
      <c r="J212" s="81" t="str">
        <f>IFERROR(DTE_demand_forecast!J225*Historical_Cost!#REF!,"-")</f>
        <v>-</v>
      </c>
      <c r="K212" s="81" t="str">
        <f>IFERROR(DTE_demand_forecast!K225*Historical_Cost!#REF!,"-")</f>
        <v>-</v>
      </c>
      <c r="L212" s="81" t="str">
        <f>IFERROR(DTE_demand_forecast!L225*Historical_Cost!#REF!,"-")</f>
        <v>-</v>
      </c>
      <c r="M212" s="81" t="str">
        <f>IFERROR(DTE_demand_forecast!M225*Historical_Cost!#REF!,"-")</f>
        <v>-</v>
      </c>
      <c r="N212" s="81" t="str">
        <f>IFERROR(DTE_demand_forecast!N225*Historical_Cost!#REF!,"-")</f>
        <v>-</v>
      </c>
      <c r="O212" s="81" t="str">
        <f>IFERROR(DTE_demand_forecast!O225*Historical_Cost!#REF!,"-")</f>
        <v>-</v>
      </c>
      <c r="P212" s="81" t="str">
        <f>IFERROR(DTE_demand_forecast!P225*Historical_Cost!#REF!,"-")</f>
        <v>-</v>
      </c>
      <c r="Q212" s="81" t="str">
        <f>IFERROR(DTE_demand_forecast!Q225*Historical_Cost!#REF!,"-")</f>
        <v>-</v>
      </c>
      <c r="R212" s="81" t="str">
        <f>IFERROR(DTE_demand_forecast!R225*Historical_Cost!#REF!,"-")</f>
        <v>-</v>
      </c>
      <c r="S212" s="81" t="str">
        <f>IFERROR(DTE_demand_forecast!S225*Historical_Cost!#REF!,"-")</f>
        <v>-</v>
      </c>
      <c r="T212" s="81" t="str">
        <f>IFERROR(DTE_demand_forecast!T225*Historical_Cost!#REF!,"-")</f>
        <v>-</v>
      </c>
      <c r="U212" s="81" t="str">
        <f>IFERROR(DTE_demand_forecast!U225*Historical_Cost!#REF!,"-")</f>
        <v>-</v>
      </c>
      <c r="V212" s="81" t="str">
        <f>IFERROR(DTE_demand_forecast!V225*Historical_Cost!#REF!,"-")</f>
        <v>-</v>
      </c>
    </row>
    <row r="213" spans="1:22" x14ac:dyDescent="0.3">
      <c r="A213" s="526"/>
      <c r="B213" s="33" t="s">
        <v>42</v>
      </c>
      <c r="C213" s="81" t="str">
        <f>IFERROR(DTE_demand_forecast!C226*Historical_Cost!#REF!,"-")</f>
        <v>-</v>
      </c>
      <c r="D213" s="81" t="str">
        <f>IFERROR(DTE_demand_forecast!D226*Historical_Cost!#REF!,"-")</f>
        <v>-</v>
      </c>
      <c r="E213" s="81" t="str">
        <f>IFERROR(DTE_demand_forecast!E226*Historical_Cost!#REF!,"-")</f>
        <v>-</v>
      </c>
      <c r="F213" s="81" t="str">
        <f>IFERROR(DTE_demand_forecast!F226*Historical_Cost!#REF!,"-")</f>
        <v>-</v>
      </c>
      <c r="G213" s="81" t="str">
        <f>IFERROR(DTE_demand_forecast!G226*Historical_Cost!#REF!,"-")</f>
        <v>-</v>
      </c>
      <c r="H213" s="81" t="str">
        <f>IFERROR(DTE_demand_forecast!H226*Historical_Cost!#REF!,"-")</f>
        <v>-</v>
      </c>
      <c r="I213" s="81" t="str">
        <f>IFERROR(DTE_demand_forecast!I226*Historical_Cost!#REF!,"-")</f>
        <v>-</v>
      </c>
      <c r="J213" s="81" t="str">
        <f>IFERROR(DTE_demand_forecast!J226*Historical_Cost!#REF!,"-")</f>
        <v>-</v>
      </c>
      <c r="K213" s="81" t="str">
        <f>IFERROR(DTE_demand_forecast!K226*Historical_Cost!#REF!,"-")</f>
        <v>-</v>
      </c>
      <c r="L213" s="81" t="str">
        <f>IFERROR(DTE_demand_forecast!L226*Historical_Cost!#REF!,"-")</f>
        <v>-</v>
      </c>
      <c r="M213" s="81" t="str">
        <f>IFERROR(DTE_demand_forecast!M226*Historical_Cost!#REF!,"-")</f>
        <v>-</v>
      </c>
      <c r="N213" s="81" t="str">
        <f>IFERROR(DTE_demand_forecast!N226*Historical_Cost!#REF!,"-")</f>
        <v>-</v>
      </c>
      <c r="O213" s="81" t="str">
        <f>IFERROR(DTE_demand_forecast!O226*Historical_Cost!#REF!,"-")</f>
        <v>-</v>
      </c>
      <c r="P213" s="81" t="str">
        <f>IFERROR(DTE_demand_forecast!P226*Historical_Cost!#REF!,"-")</f>
        <v>-</v>
      </c>
      <c r="Q213" s="81" t="str">
        <f>IFERROR(DTE_demand_forecast!Q226*Historical_Cost!#REF!,"-")</f>
        <v>-</v>
      </c>
      <c r="R213" s="81" t="str">
        <f>IFERROR(DTE_demand_forecast!R226*Historical_Cost!#REF!,"-")</f>
        <v>-</v>
      </c>
      <c r="S213" s="81" t="str">
        <f>IFERROR(DTE_demand_forecast!S226*Historical_Cost!#REF!,"-")</f>
        <v>-</v>
      </c>
      <c r="T213" s="81" t="str">
        <f>IFERROR(DTE_demand_forecast!T226*Historical_Cost!#REF!,"-")</f>
        <v>-</v>
      </c>
      <c r="U213" s="81" t="str">
        <f>IFERROR(DTE_demand_forecast!U226*Historical_Cost!#REF!,"-")</f>
        <v>-</v>
      </c>
      <c r="V213" s="81" t="str">
        <f>IFERROR(DTE_demand_forecast!V226*Historical_Cost!#REF!,"-")</f>
        <v>-</v>
      </c>
    </row>
    <row r="214" spans="1:22" x14ac:dyDescent="0.3">
      <c r="A214" s="526"/>
      <c r="B214" s="33" t="s">
        <v>45</v>
      </c>
      <c r="C214" s="81" t="str">
        <f>IFERROR(DTE_demand_forecast!C227*Historical_Cost!#REF!,"-")</f>
        <v>-</v>
      </c>
      <c r="D214" s="81" t="str">
        <f>IFERROR(DTE_demand_forecast!D227*Historical_Cost!#REF!,"-")</f>
        <v>-</v>
      </c>
      <c r="E214" s="81" t="str">
        <f>IFERROR(DTE_demand_forecast!E227*Historical_Cost!#REF!,"-")</f>
        <v>-</v>
      </c>
      <c r="F214" s="81" t="str">
        <f>IFERROR(DTE_demand_forecast!F227*Historical_Cost!#REF!,"-")</f>
        <v>-</v>
      </c>
      <c r="G214" s="81" t="str">
        <f>IFERROR(DTE_demand_forecast!G227*Historical_Cost!#REF!,"-")</f>
        <v>-</v>
      </c>
      <c r="H214" s="81" t="str">
        <f>IFERROR(DTE_demand_forecast!H227*Historical_Cost!#REF!,"-")</f>
        <v>-</v>
      </c>
      <c r="I214" s="81" t="str">
        <f>IFERROR(DTE_demand_forecast!I227*Historical_Cost!#REF!,"-")</f>
        <v>-</v>
      </c>
      <c r="J214" s="81" t="str">
        <f>IFERROR(DTE_demand_forecast!J227*Historical_Cost!#REF!,"-")</f>
        <v>-</v>
      </c>
      <c r="K214" s="81" t="str">
        <f>IFERROR(DTE_demand_forecast!K227*Historical_Cost!#REF!,"-")</f>
        <v>-</v>
      </c>
      <c r="L214" s="81" t="str">
        <f>IFERROR(DTE_demand_forecast!L227*Historical_Cost!#REF!,"-")</f>
        <v>-</v>
      </c>
      <c r="M214" s="81" t="str">
        <f>IFERROR(DTE_demand_forecast!M227*Historical_Cost!#REF!,"-")</f>
        <v>-</v>
      </c>
      <c r="N214" s="81" t="str">
        <f>IFERROR(DTE_demand_forecast!N227*Historical_Cost!#REF!,"-")</f>
        <v>-</v>
      </c>
      <c r="O214" s="81" t="str">
        <f>IFERROR(DTE_demand_forecast!O227*Historical_Cost!#REF!,"-")</f>
        <v>-</v>
      </c>
      <c r="P214" s="81" t="str">
        <f>IFERROR(DTE_demand_forecast!P227*Historical_Cost!#REF!,"-")</f>
        <v>-</v>
      </c>
      <c r="Q214" s="81" t="str">
        <f>IFERROR(DTE_demand_forecast!Q227*Historical_Cost!#REF!,"-")</f>
        <v>-</v>
      </c>
      <c r="R214" s="81" t="str">
        <f>IFERROR(DTE_demand_forecast!R227*Historical_Cost!#REF!,"-")</f>
        <v>-</v>
      </c>
      <c r="S214" s="81" t="str">
        <f>IFERROR(DTE_demand_forecast!S227*Historical_Cost!#REF!,"-")</f>
        <v>-</v>
      </c>
      <c r="T214" s="81" t="str">
        <f>IFERROR(DTE_demand_forecast!T227*Historical_Cost!#REF!,"-")</f>
        <v>-</v>
      </c>
      <c r="U214" s="81" t="str">
        <f>IFERROR(DTE_demand_forecast!U227*Historical_Cost!#REF!,"-")</f>
        <v>-</v>
      </c>
      <c r="V214" s="81" t="str">
        <f>IFERROR(DTE_demand_forecast!V227*Historical_Cost!#REF!,"-")</f>
        <v>-</v>
      </c>
    </row>
    <row r="215" spans="1:22" x14ac:dyDescent="0.3">
      <c r="A215" s="526"/>
      <c r="B215" s="33" t="s">
        <v>84</v>
      </c>
      <c r="C215" s="128">
        <f t="shared" ref="C215:V215" si="11">SUM(C207:C214)</f>
        <v>0</v>
      </c>
      <c r="D215" s="128">
        <f t="shared" si="11"/>
        <v>0</v>
      </c>
      <c r="E215" s="128">
        <f t="shared" si="11"/>
        <v>0</v>
      </c>
      <c r="F215" s="128">
        <f t="shared" si="11"/>
        <v>0</v>
      </c>
      <c r="G215" s="128">
        <f t="shared" si="11"/>
        <v>0</v>
      </c>
      <c r="H215" s="128">
        <f t="shared" si="11"/>
        <v>0</v>
      </c>
      <c r="I215" s="128">
        <f t="shared" si="11"/>
        <v>0</v>
      </c>
      <c r="J215" s="128">
        <f t="shared" si="11"/>
        <v>0</v>
      </c>
      <c r="K215" s="128">
        <f t="shared" si="11"/>
        <v>0</v>
      </c>
      <c r="L215" s="128">
        <f t="shared" si="11"/>
        <v>0</v>
      </c>
      <c r="M215" s="128">
        <f t="shared" si="11"/>
        <v>0</v>
      </c>
      <c r="N215" s="128">
        <f t="shared" si="11"/>
        <v>0</v>
      </c>
      <c r="O215" s="128">
        <f t="shared" si="11"/>
        <v>0</v>
      </c>
      <c r="P215" s="128">
        <f t="shared" si="11"/>
        <v>0</v>
      </c>
      <c r="Q215" s="128">
        <f t="shared" si="11"/>
        <v>0</v>
      </c>
      <c r="R215" s="128">
        <f t="shared" si="11"/>
        <v>0</v>
      </c>
      <c r="S215" s="128">
        <f t="shared" si="11"/>
        <v>0</v>
      </c>
      <c r="T215" s="128">
        <f t="shared" si="11"/>
        <v>0</v>
      </c>
      <c r="U215" s="128">
        <f t="shared" si="11"/>
        <v>0</v>
      </c>
      <c r="V215" s="128">
        <f t="shared" si="11"/>
        <v>0</v>
      </c>
    </row>
    <row r="216" spans="1:22" x14ac:dyDescent="0.3">
      <c r="A216" s="526"/>
    </row>
    <row r="217" spans="1:22" x14ac:dyDescent="0.3">
      <c r="A217" s="526"/>
    </row>
    <row r="218" spans="1:22" x14ac:dyDescent="0.3">
      <c r="A218" s="526"/>
    </row>
    <row r="219" spans="1:22" x14ac:dyDescent="0.3">
      <c r="A219" s="526"/>
    </row>
    <row r="220" spans="1:22" x14ac:dyDescent="0.3">
      <c r="A220" s="526"/>
    </row>
    <row r="221" spans="1:22" x14ac:dyDescent="0.3">
      <c r="A221" s="526"/>
    </row>
    <row r="222" spans="1:22" x14ac:dyDescent="0.3">
      <c r="A222" s="526"/>
    </row>
    <row r="223" spans="1:22" x14ac:dyDescent="0.3">
      <c r="A223" s="526"/>
    </row>
    <row r="224" spans="1:22" x14ac:dyDescent="0.3">
      <c r="A224" s="526"/>
    </row>
  </sheetData>
  <mergeCells count="4">
    <mergeCell ref="A1:A56"/>
    <mergeCell ref="A57:A112"/>
    <mergeCell ref="A113:A168"/>
    <mergeCell ref="A169:A224"/>
  </mergeCells>
  <pageMargins left="0.7" right="0.7" top="0.75" bottom="0.75" header="0.3" footer="0.3"/>
  <pageSetup orientation="portrait"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E80BDA-829A-487E-980D-B18B45D307D0}">
  <sheetPr>
    <tabColor theme="5"/>
  </sheetPr>
  <dimension ref="A1:V224"/>
  <sheetViews>
    <sheetView zoomScaleNormal="100" workbookViewId="0">
      <selection activeCell="D24" sqref="D24"/>
    </sheetView>
  </sheetViews>
  <sheetFormatPr defaultRowHeight="14.4" x14ac:dyDescent="0.3"/>
  <cols>
    <col min="1" max="1" width="8.88671875" style="35"/>
    <col min="2" max="2" width="57.21875" style="35" customWidth="1"/>
    <col min="3" max="3" width="16.5546875" style="19" bestFit="1" customWidth="1"/>
    <col min="4" max="12" width="16.77734375" style="19" bestFit="1" customWidth="1"/>
    <col min="13" max="13" width="16.5546875" style="19" bestFit="1" customWidth="1"/>
    <col min="14" max="22" width="16.77734375" style="19" bestFit="1" customWidth="1"/>
    <col min="23" max="16384" width="8.88671875" style="35"/>
  </cols>
  <sheetData>
    <row r="1" spans="1:22" x14ac:dyDescent="0.3">
      <c r="A1" s="525">
        <v>0.2</v>
      </c>
      <c r="B1" s="35" t="s">
        <v>162</v>
      </c>
      <c r="L1" s="20"/>
      <c r="M1" s="20"/>
    </row>
    <row r="2" spans="1:22" x14ac:dyDescent="0.3">
      <c r="A2" s="526"/>
      <c r="B2" s="78" t="s">
        <v>82</v>
      </c>
      <c r="C2" s="78">
        <v>2021</v>
      </c>
      <c r="D2" s="79">
        <v>2022</v>
      </c>
      <c r="E2" s="78">
        <v>2023</v>
      </c>
      <c r="F2" s="79">
        <v>2024</v>
      </c>
      <c r="G2" s="78">
        <v>2025</v>
      </c>
      <c r="H2" s="79">
        <v>2026</v>
      </c>
      <c r="I2" s="78">
        <v>2027</v>
      </c>
      <c r="J2" s="79">
        <v>2028</v>
      </c>
      <c r="K2" s="78">
        <v>2029</v>
      </c>
      <c r="L2" s="79">
        <v>2030</v>
      </c>
      <c r="M2" s="78">
        <v>2031</v>
      </c>
      <c r="N2" s="79">
        <v>2032</v>
      </c>
      <c r="O2" s="78">
        <v>2033</v>
      </c>
      <c r="P2" s="79">
        <v>2034</v>
      </c>
      <c r="Q2" s="78">
        <v>2035</v>
      </c>
      <c r="R2" s="79">
        <v>2036</v>
      </c>
      <c r="S2" s="78">
        <v>2037</v>
      </c>
      <c r="T2" s="79">
        <v>2038</v>
      </c>
      <c r="U2" s="78">
        <v>2039</v>
      </c>
      <c r="V2" s="79">
        <v>2040</v>
      </c>
    </row>
    <row r="3" spans="1:22" x14ac:dyDescent="0.3">
      <c r="A3" s="526"/>
      <c r="B3" s="33" t="str">
        <f>DTE_demand_forecast!B62</f>
        <v>Human Space Flight</v>
      </c>
      <c r="C3" s="81" t="str">
        <f>IFERROR(SR_demand_forecast!C56*Historical_Cost!#REF!,"-")</f>
        <v>-</v>
      </c>
      <c r="D3" s="81" t="str">
        <f>IFERROR(SR_demand_forecast!D56*Historical_Cost!#REF!,"-")</f>
        <v>-</v>
      </c>
      <c r="E3" s="81" t="str">
        <f>IFERROR(SR_demand_forecast!E56*Historical_Cost!#REF!,"-")</f>
        <v>-</v>
      </c>
      <c r="F3" s="81" t="str">
        <f>IFERROR(SR_demand_forecast!F56*Historical_Cost!#REF!,"-")</f>
        <v>-</v>
      </c>
      <c r="G3" s="81" t="str">
        <f>IFERROR(SR_demand_forecast!G56*Historical_Cost!#REF!,"-")</f>
        <v>-</v>
      </c>
      <c r="H3" s="81" t="str">
        <f>IFERROR(SR_demand_forecast!H56*Historical_Cost!#REF!,"-")</f>
        <v>-</v>
      </c>
      <c r="I3" s="81" t="str">
        <f>IFERROR(SR_demand_forecast!I56*Historical_Cost!#REF!,"-")</f>
        <v>-</v>
      </c>
      <c r="J3" s="81" t="str">
        <f>IFERROR(SR_demand_forecast!J56*Historical_Cost!#REF!,"-")</f>
        <v>-</v>
      </c>
      <c r="K3" s="81" t="str">
        <f>IFERROR(SR_demand_forecast!K56*Historical_Cost!#REF!,"-")</f>
        <v>-</v>
      </c>
      <c r="L3" s="81" t="str">
        <f>IFERROR(SR_demand_forecast!L56*Historical_Cost!#REF!,"-")</f>
        <v>-</v>
      </c>
      <c r="M3" s="81" t="str">
        <f>IFERROR(SR_demand_forecast!M56*Historical_Cost!#REF!,"-")</f>
        <v>-</v>
      </c>
      <c r="N3" s="81" t="str">
        <f>IFERROR(SR_demand_forecast!N56*Historical_Cost!#REF!,"-")</f>
        <v>-</v>
      </c>
      <c r="O3" s="81" t="str">
        <f>IFERROR(SR_demand_forecast!O56*Historical_Cost!#REF!,"-")</f>
        <v>-</v>
      </c>
      <c r="P3" s="81" t="str">
        <f>IFERROR(SR_demand_forecast!P56*Historical_Cost!#REF!,"-")</f>
        <v>-</v>
      </c>
      <c r="Q3" s="81" t="str">
        <f>IFERROR(SR_demand_forecast!Q56*Historical_Cost!#REF!,"-")</f>
        <v>-</v>
      </c>
      <c r="R3" s="81" t="str">
        <f>IFERROR(SR_demand_forecast!R56*Historical_Cost!#REF!,"-")</f>
        <v>-</v>
      </c>
      <c r="S3" s="81" t="str">
        <f>IFERROR(SR_demand_forecast!S56*Historical_Cost!#REF!,"-")</f>
        <v>-</v>
      </c>
      <c r="T3" s="81" t="str">
        <f>IFERROR(SR_demand_forecast!T56*Historical_Cost!#REF!,"-")</f>
        <v>-</v>
      </c>
      <c r="U3" s="81" t="str">
        <f>IFERROR(SR_demand_forecast!U56*Historical_Cost!#REF!,"-")</f>
        <v>-</v>
      </c>
      <c r="V3" s="81" t="str">
        <f>IFERROR(SR_demand_forecast!V56*Historical_Cost!#REF!,"-")</f>
        <v>-</v>
      </c>
    </row>
    <row r="4" spans="1:22" x14ac:dyDescent="0.3">
      <c r="A4" s="526"/>
      <c r="B4" s="33" t="str">
        <f>DTE_demand_forecast!B63</f>
        <v>Near Earth Robotic - LEO Science</v>
      </c>
      <c r="C4" s="81" t="str">
        <f>IFERROR(SR_demand_forecast!C57*Historical_Cost!#REF!,"-")</f>
        <v>-</v>
      </c>
      <c r="D4" s="81" t="str">
        <f>IFERROR(SR_demand_forecast!D57*Historical_Cost!#REF!,"-")</f>
        <v>-</v>
      </c>
      <c r="E4" s="81" t="str">
        <f>IFERROR(SR_demand_forecast!E57*Historical_Cost!#REF!,"-")</f>
        <v>-</v>
      </c>
      <c r="F4" s="81" t="str">
        <f>IFERROR(SR_demand_forecast!F57*Historical_Cost!#REF!,"-")</f>
        <v>-</v>
      </c>
      <c r="G4" s="81" t="str">
        <f>IFERROR(SR_demand_forecast!G57*Historical_Cost!#REF!,"-")</f>
        <v>-</v>
      </c>
      <c r="H4" s="81" t="str">
        <f>IFERROR(SR_demand_forecast!H57*Historical_Cost!#REF!,"-")</f>
        <v>-</v>
      </c>
      <c r="I4" s="81" t="str">
        <f>IFERROR(SR_demand_forecast!I57*Historical_Cost!#REF!,"-")</f>
        <v>-</v>
      </c>
      <c r="J4" s="81" t="str">
        <f>IFERROR(SR_demand_forecast!J57*Historical_Cost!#REF!,"-")</f>
        <v>-</v>
      </c>
      <c r="K4" s="81" t="str">
        <f>IFERROR(SR_demand_forecast!K57*Historical_Cost!#REF!,"-")</f>
        <v>-</v>
      </c>
      <c r="L4" s="81" t="str">
        <f>IFERROR(SR_demand_forecast!L57*Historical_Cost!#REF!,"-")</f>
        <v>-</v>
      </c>
      <c r="M4" s="81" t="str">
        <f>IFERROR(SR_demand_forecast!M57*Historical_Cost!#REF!,"-")</f>
        <v>-</v>
      </c>
      <c r="N4" s="81" t="str">
        <f>IFERROR(SR_demand_forecast!N57*Historical_Cost!#REF!,"-")</f>
        <v>-</v>
      </c>
      <c r="O4" s="81" t="str">
        <f>IFERROR(SR_demand_forecast!O57*Historical_Cost!#REF!,"-")</f>
        <v>-</v>
      </c>
      <c r="P4" s="81" t="str">
        <f>IFERROR(SR_demand_forecast!P57*Historical_Cost!#REF!,"-")</f>
        <v>-</v>
      </c>
      <c r="Q4" s="81" t="str">
        <f>IFERROR(SR_demand_forecast!Q57*Historical_Cost!#REF!,"-")</f>
        <v>-</v>
      </c>
      <c r="R4" s="81" t="str">
        <f>IFERROR(SR_demand_forecast!R57*Historical_Cost!#REF!,"-")</f>
        <v>-</v>
      </c>
      <c r="S4" s="81" t="str">
        <f>IFERROR(SR_demand_forecast!S57*Historical_Cost!#REF!,"-")</f>
        <v>-</v>
      </c>
      <c r="T4" s="81" t="str">
        <f>IFERROR(SR_demand_forecast!T57*Historical_Cost!#REF!,"-")</f>
        <v>-</v>
      </c>
      <c r="U4" s="81" t="str">
        <f>IFERROR(SR_demand_forecast!U57*Historical_Cost!#REF!,"-")</f>
        <v>-</v>
      </c>
      <c r="V4" s="81" t="str">
        <f>IFERROR(SR_demand_forecast!V57*Historical_Cost!#REF!,"-")</f>
        <v>-</v>
      </c>
    </row>
    <row r="5" spans="1:22" x14ac:dyDescent="0.3">
      <c r="A5" s="526"/>
      <c r="B5" s="33" t="str">
        <f>DTE_demand_forecast!B64</f>
        <v>Near Earth Robotic - GEO and Near Earth</v>
      </c>
      <c r="C5" s="81" t="str">
        <f>IFERROR(SR_demand_forecast!C58*Historical_Cost!#REF!,"-")</f>
        <v>-</v>
      </c>
      <c r="D5" s="81" t="str">
        <f>IFERROR(SR_demand_forecast!D58*Historical_Cost!#REF!,"-")</f>
        <v>-</v>
      </c>
      <c r="E5" s="81" t="str">
        <f>IFERROR(SR_demand_forecast!E58*Historical_Cost!#REF!,"-")</f>
        <v>-</v>
      </c>
      <c r="F5" s="81" t="str">
        <f>IFERROR(SR_demand_forecast!F58*Historical_Cost!#REF!,"-")</f>
        <v>-</v>
      </c>
      <c r="G5" s="81" t="str">
        <f>IFERROR(SR_demand_forecast!G58*Historical_Cost!#REF!,"-")</f>
        <v>-</v>
      </c>
      <c r="H5" s="81" t="str">
        <f>IFERROR(SR_demand_forecast!H58*Historical_Cost!#REF!,"-")</f>
        <v>-</v>
      </c>
      <c r="I5" s="81" t="str">
        <f>IFERROR(SR_demand_forecast!I58*Historical_Cost!#REF!,"-")</f>
        <v>-</v>
      </c>
      <c r="J5" s="81" t="str">
        <f>IFERROR(SR_demand_forecast!J58*Historical_Cost!#REF!,"-")</f>
        <v>-</v>
      </c>
      <c r="K5" s="81" t="str">
        <f>IFERROR(SR_demand_forecast!K58*Historical_Cost!#REF!,"-")</f>
        <v>-</v>
      </c>
      <c r="L5" s="81" t="str">
        <f>IFERROR(SR_demand_forecast!L58*Historical_Cost!#REF!,"-")</f>
        <v>-</v>
      </c>
      <c r="M5" s="81" t="str">
        <f>IFERROR(SR_demand_forecast!M58*Historical_Cost!#REF!,"-")</f>
        <v>-</v>
      </c>
      <c r="N5" s="81" t="str">
        <f>IFERROR(SR_demand_forecast!N58*Historical_Cost!#REF!,"-")</f>
        <v>-</v>
      </c>
      <c r="O5" s="81" t="str">
        <f>IFERROR(SR_demand_forecast!O58*Historical_Cost!#REF!,"-")</f>
        <v>-</v>
      </c>
      <c r="P5" s="81" t="str">
        <f>IFERROR(SR_demand_forecast!P58*Historical_Cost!#REF!,"-")</f>
        <v>-</v>
      </c>
      <c r="Q5" s="81" t="str">
        <f>IFERROR(SR_demand_forecast!Q58*Historical_Cost!#REF!,"-")</f>
        <v>-</v>
      </c>
      <c r="R5" s="81" t="str">
        <f>IFERROR(SR_demand_forecast!R58*Historical_Cost!#REF!,"-")</f>
        <v>-</v>
      </c>
      <c r="S5" s="81" t="str">
        <f>IFERROR(SR_demand_forecast!S58*Historical_Cost!#REF!,"-")</f>
        <v>-</v>
      </c>
      <c r="T5" s="81" t="str">
        <f>IFERROR(SR_demand_forecast!T58*Historical_Cost!#REF!,"-")</f>
        <v>-</v>
      </c>
      <c r="U5" s="81" t="str">
        <f>IFERROR(SR_demand_forecast!U58*Historical_Cost!#REF!,"-")</f>
        <v>-</v>
      </c>
      <c r="V5" s="81" t="str">
        <f>IFERROR(SR_demand_forecast!V58*Historical_Cost!#REF!,"-")</f>
        <v>-</v>
      </c>
    </row>
    <row r="6" spans="1:22" x14ac:dyDescent="0.3">
      <c r="A6" s="526"/>
      <c r="B6" s="33" t="str">
        <f>DTE_demand_forecast!B65</f>
        <v>Deep Space Robotic</v>
      </c>
      <c r="C6" s="81" t="str">
        <f>IFERROR(SR_demand_forecast!C59*Historical_Cost!#REF!,"-")</f>
        <v>-</v>
      </c>
      <c r="D6" s="81" t="str">
        <f>IFERROR(SR_demand_forecast!D59*Historical_Cost!#REF!,"-")</f>
        <v>-</v>
      </c>
      <c r="E6" s="81" t="str">
        <f>IFERROR(SR_demand_forecast!E59*Historical_Cost!#REF!,"-")</f>
        <v>-</v>
      </c>
      <c r="F6" s="81" t="str">
        <f>IFERROR(SR_demand_forecast!F59*Historical_Cost!#REF!,"-")</f>
        <v>-</v>
      </c>
      <c r="G6" s="81" t="str">
        <f>IFERROR(SR_demand_forecast!G59*Historical_Cost!#REF!,"-")</f>
        <v>-</v>
      </c>
      <c r="H6" s="81" t="str">
        <f>IFERROR(SR_demand_forecast!H59*Historical_Cost!#REF!,"-")</f>
        <v>-</v>
      </c>
      <c r="I6" s="81" t="str">
        <f>IFERROR(SR_demand_forecast!I59*Historical_Cost!#REF!,"-")</f>
        <v>-</v>
      </c>
      <c r="J6" s="81" t="str">
        <f>IFERROR(SR_demand_forecast!J59*Historical_Cost!#REF!,"-")</f>
        <v>-</v>
      </c>
      <c r="K6" s="81" t="str">
        <f>IFERROR(SR_demand_forecast!K59*Historical_Cost!#REF!,"-")</f>
        <v>-</v>
      </c>
      <c r="L6" s="81" t="str">
        <f>IFERROR(SR_demand_forecast!L59*Historical_Cost!#REF!,"-")</f>
        <v>-</v>
      </c>
      <c r="M6" s="81" t="str">
        <f>IFERROR(SR_demand_forecast!M59*Historical_Cost!#REF!,"-")</f>
        <v>-</v>
      </c>
      <c r="N6" s="81" t="str">
        <f>IFERROR(SR_demand_forecast!N59*Historical_Cost!#REF!,"-")</f>
        <v>-</v>
      </c>
      <c r="O6" s="81" t="str">
        <f>IFERROR(SR_demand_forecast!O59*Historical_Cost!#REF!,"-")</f>
        <v>-</v>
      </c>
      <c r="P6" s="81" t="str">
        <f>IFERROR(SR_demand_forecast!P59*Historical_Cost!#REF!,"-")</f>
        <v>-</v>
      </c>
      <c r="Q6" s="81" t="str">
        <f>IFERROR(SR_demand_forecast!Q59*Historical_Cost!#REF!,"-")</f>
        <v>-</v>
      </c>
      <c r="R6" s="81" t="str">
        <f>IFERROR(SR_demand_forecast!R59*Historical_Cost!#REF!,"-")</f>
        <v>-</v>
      </c>
      <c r="S6" s="81" t="str">
        <f>IFERROR(SR_demand_forecast!S59*Historical_Cost!#REF!,"-")</f>
        <v>-</v>
      </c>
      <c r="T6" s="81" t="str">
        <f>IFERROR(SR_demand_forecast!T59*Historical_Cost!#REF!,"-")</f>
        <v>-</v>
      </c>
      <c r="U6" s="81" t="str">
        <f>IFERROR(SR_demand_forecast!U59*Historical_Cost!#REF!,"-")</f>
        <v>-</v>
      </c>
      <c r="V6" s="81" t="str">
        <f>IFERROR(SR_demand_forecast!V59*Historical_Cost!#REF!,"-")</f>
        <v>-</v>
      </c>
    </row>
    <row r="7" spans="1:22" x14ac:dyDescent="0.3">
      <c r="A7" s="526"/>
      <c r="B7" s="33" t="str">
        <f>DTE_demand_forecast!B66</f>
        <v>Near Earth Robotic - Low Latency &amp; Complex Needs</v>
      </c>
      <c r="C7" s="81" t="str">
        <f>IFERROR(SR_demand_forecast!C60*Historical_Cost!#REF!,"-")</f>
        <v>-</v>
      </c>
      <c r="D7" s="81" t="str">
        <f>IFERROR(SR_demand_forecast!D60*Historical_Cost!#REF!,"-")</f>
        <v>-</v>
      </c>
      <c r="E7" s="81" t="str">
        <f>IFERROR(SR_demand_forecast!E60*Historical_Cost!#REF!,"-")</f>
        <v>-</v>
      </c>
      <c r="F7" s="81" t="str">
        <f>IFERROR(SR_demand_forecast!F60*Historical_Cost!#REF!,"-")</f>
        <v>-</v>
      </c>
      <c r="G7" s="81" t="str">
        <f>IFERROR(SR_demand_forecast!G60*Historical_Cost!#REF!,"-")</f>
        <v>-</v>
      </c>
      <c r="H7" s="81" t="str">
        <f>IFERROR(SR_demand_forecast!H60*Historical_Cost!#REF!,"-")</f>
        <v>-</v>
      </c>
      <c r="I7" s="81" t="str">
        <f>IFERROR(SR_demand_forecast!I60*Historical_Cost!#REF!,"-")</f>
        <v>-</v>
      </c>
      <c r="J7" s="81" t="str">
        <f>IFERROR(SR_demand_forecast!J60*Historical_Cost!#REF!,"-")</f>
        <v>-</v>
      </c>
      <c r="K7" s="81" t="str">
        <f>IFERROR(SR_demand_forecast!K60*Historical_Cost!#REF!,"-")</f>
        <v>-</v>
      </c>
      <c r="L7" s="81" t="str">
        <f>IFERROR(SR_demand_forecast!L60*Historical_Cost!#REF!,"-")</f>
        <v>-</v>
      </c>
      <c r="M7" s="81" t="str">
        <f>IFERROR(SR_demand_forecast!M60*Historical_Cost!#REF!,"-")</f>
        <v>-</v>
      </c>
      <c r="N7" s="81" t="str">
        <f>IFERROR(SR_demand_forecast!N60*Historical_Cost!#REF!,"-")</f>
        <v>-</v>
      </c>
      <c r="O7" s="81" t="str">
        <f>IFERROR(SR_demand_forecast!O60*Historical_Cost!#REF!,"-")</f>
        <v>-</v>
      </c>
      <c r="P7" s="81" t="str">
        <f>IFERROR(SR_demand_forecast!P60*Historical_Cost!#REF!,"-")</f>
        <v>-</v>
      </c>
      <c r="Q7" s="81" t="str">
        <f>IFERROR(SR_demand_forecast!Q60*Historical_Cost!#REF!,"-")</f>
        <v>-</v>
      </c>
      <c r="R7" s="81" t="str">
        <f>IFERROR(SR_demand_forecast!R60*Historical_Cost!#REF!,"-")</f>
        <v>-</v>
      </c>
      <c r="S7" s="81" t="str">
        <f>IFERROR(SR_demand_forecast!S60*Historical_Cost!#REF!,"-")</f>
        <v>-</v>
      </c>
      <c r="T7" s="81" t="str">
        <f>IFERROR(SR_demand_forecast!T60*Historical_Cost!#REF!,"-")</f>
        <v>-</v>
      </c>
      <c r="U7" s="81" t="str">
        <f>IFERROR(SR_demand_forecast!U60*Historical_Cost!#REF!,"-")</f>
        <v>-</v>
      </c>
      <c r="V7" s="81" t="str">
        <f>IFERROR(SR_demand_forecast!V60*Historical_Cost!#REF!,"-")</f>
        <v>-</v>
      </c>
    </row>
    <row r="8" spans="1:22" x14ac:dyDescent="0.3">
      <c r="A8" s="526"/>
      <c r="B8" s="33" t="str">
        <f>DTE_demand_forecast!B67</f>
        <v>Mission Operations</v>
      </c>
      <c r="C8" s="81" t="str">
        <f>IFERROR(SR_demand_forecast!C61*Historical_Cost!#REF!,"-")</f>
        <v>-</v>
      </c>
      <c r="D8" s="81" t="str">
        <f>IFERROR(SR_demand_forecast!D61*Historical_Cost!#REF!,"-")</f>
        <v>-</v>
      </c>
      <c r="E8" s="81" t="str">
        <f>IFERROR(SR_demand_forecast!E61*Historical_Cost!#REF!,"-")</f>
        <v>-</v>
      </c>
      <c r="F8" s="81" t="str">
        <f>IFERROR(SR_demand_forecast!F61*Historical_Cost!#REF!,"-")</f>
        <v>-</v>
      </c>
      <c r="G8" s="81" t="str">
        <f>IFERROR(SR_demand_forecast!G61*Historical_Cost!#REF!,"-")</f>
        <v>-</v>
      </c>
      <c r="H8" s="81" t="str">
        <f>IFERROR(SR_demand_forecast!H61*Historical_Cost!#REF!,"-")</f>
        <v>-</v>
      </c>
      <c r="I8" s="81" t="str">
        <f>IFERROR(SR_demand_forecast!I61*Historical_Cost!#REF!,"-")</f>
        <v>-</v>
      </c>
      <c r="J8" s="81" t="str">
        <f>IFERROR(SR_demand_forecast!J61*Historical_Cost!#REF!,"-")</f>
        <v>-</v>
      </c>
      <c r="K8" s="81" t="str">
        <f>IFERROR(SR_demand_forecast!K61*Historical_Cost!#REF!,"-")</f>
        <v>-</v>
      </c>
      <c r="L8" s="81" t="str">
        <f>IFERROR(SR_demand_forecast!L61*Historical_Cost!#REF!,"-")</f>
        <v>-</v>
      </c>
      <c r="M8" s="81" t="str">
        <f>IFERROR(SR_demand_forecast!M61*Historical_Cost!#REF!,"-")</f>
        <v>-</v>
      </c>
      <c r="N8" s="81" t="str">
        <f>IFERROR(SR_demand_forecast!N61*Historical_Cost!#REF!,"-")</f>
        <v>-</v>
      </c>
      <c r="O8" s="81" t="str">
        <f>IFERROR(SR_demand_forecast!O61*Historical_Cost!#REF!,"-")</f>
        <v>-</v>
      </c>
      <c r="P8" s="81" t="str">
        <f>IFERROR(SR_demand_forecast!P61*Historical_Cost!#REF!,"-")</f>
        <v>-</v>
      </c>
      <c r="Q8" s="81" t="str">
        <f>IFERROR(SR_demand_forecast!Q61*Historical_Cost!#REF!,"-")</f>
        <v>-</v>
      </c>
      <c r="R8" s="81" t="str">
        <f>IFERROR(SR_demand_forecast!R61*Historical_Cost!#REF!,"-")</f>
        <v>-</v>
      </c>
      <c r="S8" s="81" t="str">
        <f>IFERROR(SR_demand_forecast!S61*Historical_Cost!#REF!,"-")</f>
        <v>-</v>
      </c>
      <c r="T8" s="81" t="str">
        <f>IFERROR(SR_demand_forecast!T61*Historical_Cost!#REF!,"-")</f>
        <v>-</v>
      </c>
      <c r="U8" s="81" t="str">
        <f>IFERROR(SR_demand_forecast!U61*Historical_Cost!#REF!,"-")</f>
        <v>-</v>
      </c>
      <c r="V8" s="81" t="str">
        <f>IFERROR(SR_demand_forecast!V61*Historical_Cost!#REF!,"-")</f>
        <v>-</v>
      </c>
    </row>
    <row r="9" spans="1:22" x14ac:dyDescent="0.3">
      <c r="A9" s="526"/>
      <c r="B9" s="33" t="str">
        <f>DTE_demand_forecast!B68</f>
        <v>Launch Events</v>
      </c>
      <c r="C9" s="81" t="str">
        <f>IFERROR(SR_demand_forecast!C62*Historical_Cost!#REF!,"-")</f>
        <v>-</v>
      </c>
      <c r="D9" s="81" t="str">
        <f>IFERROR(SR_demand_forecast!D62*Historical_Cost!#REF!,"-")</f>
        <v>-</v>
      </c>
      <c r="E9" s="81" t="str">
        <f>IFERROR(SR_demand_forecast!E62*Historical_Cost!#REF!,"-")</f>
        <v>-</v>
      </c>
      <c r="F9" s="81" t="str">
        <f>IFERROR(SR_demand_forecast!F62*Historical_Cost!#REF!,"-")</f>
        <v>-</v>
      </c>
      <c r="G9" s="81" t="str">
        <f>IFERROR(SR_demand_forecast!G62*Historical_Cost!#REF!,"-")</f>
        <v>-</v>
      </c>
      <c r="H9" s="81" t="str">
        <f>IFERROR(SR_demand_forecast!H62*Historical_Cost!#REF!,"-")</f>
        <v>-</v>
      </c>
      <c r="I9" s="81" t="str">
        <f>IFERROR(SR_demand_forecast!I62*Historical_Cost!#REF!,"-")</f>
        <v>-</v>
      </c>
      <c r="J9" s="81" t="str">
        <f>IFERROR(SR_demand_forecast!J62*Historical_Cost!#REF!,"-")</f>
        <v>-</v>
      </c>
      <c r="K9" s="81" t="str">
        <f>IFERROR(SR_demand_forecast!K62*Historical_Cost!#REF!,"-")</f>
        <v>-</v>
      </c>
      <c r="L9" s="81" t="str">
        <f>IFERROR(SR_demand_forecast!L62*Historical_Cost!#REF!,"-")</f>
        <v>-</v>
      </c>
      <c r="M9" s="81" t="str">
        <f>IFERROR(SR_demand_forecast!M62*Historical_Cost!#REF!,"-")</f>
        <v>-</v>
      </c>
      <c r="N9" s="81" t="str">
        <f>IFERROR(SR_demand_forecast!N62*Historical_Cost!#REF!,"-")</f>
        <v>-</v>
      </c>
      <c r="O9" s="81" t="str">
        <f>IFERROR(SR_demand_forecast!O62*Historical_Cost!#REF!,"-")</f>
        <v>-</v>
      </c>
      <c r="P9" s="81" t="str">
        <f>IFERROR(SR_demand_forecast!P62*Historical_Cost!#REF!,"-")</f>
        <v>-</v>
      </c>
      <c r="Q9" s="81" t="str">
        <f>IFERROR(SR_demand_forecast!Q62*Historical_Cost!#REF!,"-")</f>
        <v>-</v>
      </c>
      <c r="R9" s="81" t="str">
        <f>IFERROR(SR_demand_forecast!R62*Historical_Cost!#REF!,"-")</f>
        <v>-</v>
      </c>
      <c r="S9" s="81" t="str">
        <f>IFERROR(SR_demand_forecast!S62*Historical_Cost!#REF!,"-")</f>
        <v>-</v>
      </c>
      <c r="T9" s="81" t="str">
        <f>IFERROR(SR_demand_forecast!T62*Historical_Cost!#REF!,"-")</f>
        <v>-</v>
      </c>
      <c r="U9" s="81" t="str">
        <f>IFERROR(SR_demand_forecast!U62*Historical_Cost!#REF!,"-")</f>
        <v>-</v>
      </c>
      <c r="V9" s="81" t="str">
        <f>IFERROR(SR_demand_forecast!V62*Historical_Cost!#REF!,"-")</f>
        <v>-</v>
      </c>
    </row>
    <row r="10" spans="1:22" x14ac:dyDescent="0.3">
      <c r="A10" s="526"/>
      <c r="B10" s="33" t="str">
        <f>DTE_demand_forecast!B69</f>
        <v>Terrestrial &amp; Aerial</v>
      </c>
      <c r="C10" s="81" t="str">
        <f>IFERROR(SR_demand_forecast!C63*Historical_Cost!#REF!,"-")</f>
        <v>-</v>
      </c>
      <c r="D10" s="81" t="str">
        <f>IFERROR(SR_demand_forecast!D63*Historical_Cost!#REF!,"-")</f>
        <v>-</v>
      </c>
      <c r="E10" s="81" t="str">
        <f>IFERROR(SR_demand_forecast!E63*Historical_Cost!#REF!,"-")</f>
        <v>-</v>
      </c>
      <c r="F10" s="81" t="str">
        <f>IFERROR(SR_demand_forecast!F63*Historical_Cost!#REF!,"-")</f>
        <v>-</v>
      </c>
      <c r="G10" s="81" t="str">
        <f>IFERROR(SR_demand_forecast!G63*Historical_Cost!#REF!,"-")</f>
        <v>-</v>
      </c>
      <c r="H10" s="81" t="str">
        <f>IFERROR(SR_demand_forecast!H63*Historical_Cost!#REF!,"-")</f>
        <v>-</v>
      </c>
      <c r="I10" s="81" t="str">
        <f>IFERROR(SR_demand_forecast!I63*Historical_Cost!#REF!,"-")</f>
        <v>-</v>
      </c>
      <c r="J10" s="81" t="str">
        <f>IFERROR(SR_demand_forecast!J63*Historical_Cost!#REF!,"-")</f>
        <v>-</v>
      </c>
      <c r="K10" s="81" t="str">
        <f>IFERROR(SR_demand_forecast!K63*Historical_Cost!#REF!,"-")</f>
        <v>-</v>
      </c>
      <c r="L10" s="81" t="str">
        <f>IFERROR(SR_demand_forecast!L63*Historical_Cost!#REF!,"-")</f>
        <v>-</v>
      </c>
      <c r="M10" s="81" t="str">
        <f>IFERROR(SR_demand_forecast!M63*Historical_Cost!#REF!,"-")</f>
        <v>-</v>
      </c>
      <c r="N10" s="81" t="str">
        <f>IFERROR(SR_demand_forecast!N63*Historical_Cost!#REF!,"-")</f>
        <v>-</v>
      </c>
      <c r="O10" s="81" t="str">
        <f>IFERROR(SR_demand_forecast!O63*Historical_Cost!#REF!,"-")</f>
        <v>-</v>
      </c>
      <c r="P10" s="81" t="str">
        <f>IFERROR(SR_demand_forecast!P63*Historical_Cost!#REF!,"-")</f>
        <v>-</v>
      </c>
      <c r="Q10" s="81" t="str">
        <f>IFERROR(SR_demand_forecast!Q63*Historical_Cost!#REF!,"-")</f>
        <v>-</v>
      </c>
      <c r="R10" s="81" t="str">
        <f>IFERROR(SR_demand_forecast!R63*Historical_Cost!#REF!,"-")</f>
        <v>-</v>
      </c>
      <c r="S10" s="81" t="str">
        <f>IFERROR(SR_demand_forecast!S63*Historical_Cost!#REF!,"-")</f>
        <v>-</v>
      </c>
      <c r="T10" s="81" t="str">
        <f>IFERROR(SR_demand_forecast!T63*Historical_Cost!#REF!,"-")</f>
        <v>-</v>
      </c>
      <c r="U10" s="81" t="str">
        <f>IFERROR(SR_demand_forecast!U63*Historical_Cost!#REF!,"-")</f>
        <v>-</v>
      </c>
      <c r="V10" s="81" t="str">
        <f>IFERROR(SR_demand_forecast!V63*Historical_Cost!#REF!,"-")</f>
        <v>-</v>
      </c>
    </row>
    <row r="11" spans="1:22" x14ac:dyDescent="0.3">
      <c r="A11" s="526"/>
      <c r="B11" s="34" t="s">
        <v>84</v>
      </c>
      <c r="C11" s="128">
        <f t="shared" ref="C11:V11" si="0">SUM(C3:C10)</f>
        <v>0</v>
      </c>
      <c r="D11" s="128">
        <f t="shared" si="0"/>
        <v>0</v>
      </c>
      <c r="E11" s="128">
        <f t="shared" si="0"/>
        <v>0</v>
      </c>
      <c r="F11" s="128">
        <f t="shared" si="0"/>
        <v>0</v>
      </c>
      <c r="G11" s="128">
        <f t="shared" si="0"/>
        <v>0</v>
      </c>
      <c r="H11" s="128">
        <f t="shared" si="0"/>
        <v>0</v>
      </c>
      <c r="I11" s="128">
        <f t="shared" si="0"/>
        <v>0</v>
      </c>
      <c r="J11" s="128">
        <f t="shared" si="0"/>
        <v>0</v>
      </c>
      <c r="K11" s="128">
        <f t="shared" si="0"/>
        <v>0</v>
      </c>
      <c r="L11" s="128">
        <f t="shared" si="0"/>
        <v>0</v>
      </c>
      <c r="M11" s="128">
        <f t="shared" si="0"/>
        <v>0</v>
      </c>
      <c r="N11" s="128">
        <f t="shared" si="0"/>
        <v>0</v>
      </c>
      <c r="O11" s="128">
        <f t="shared" si="0"/>
        <v>0</v>
      </c>
      <c r="P11" s="128">
        <f t="shared" si="0"/>
        <v>0</v>
      </c>
      <c r="Q11" s="128">
        <f t="shared" si="0"/>
        <v>0</v>
      </c>
      <c r="R11" s="128">
        <f t="shared" si="0"/>
        <v>0</v>
      </c>
      <c r="S11" s="128">
        <f t="shared" si="0"/>
        <v>0</v>
      </c>
      <c r="T11" s="128">
        <f t="shared" si="0"/>
        <v>0</v>
      </c>
      <c r="U11" s="128">
        <f t="shared" si="0"/>
        <v>0</v>
      </c>
      <c r="V11" s="128">
        <f t="shared" si="0"/>
        <v>0</v>
      </c>
    </row>
    <row r="12" spans="1:22" x14ac:dyDescent="0.3">
      <c r="A12" s="526"/>
      <c r="B12" s="129"/>
      <c r="C12" s="130"/>
      <c r="D12" s="130"/>
      <c r="E12" s="130"/>
      <c r="F12" s="130"/>
      <c r="G12" s="130"/>
      <c r="H12" s="130"/>
      <c r="I12" s="130"/>
      <c r="J12" s="130"/>
      <c r="K12" s="130"/>
      <c r="L12" s="130"/>
      <c r="M12" s="130"/>
      <c r="N12" s="130"/>
      <c r="O12" s="130"/>
      <c r="P12" s="130"/>
      <c r="Q12" s="130"/>
      <c r="R12" s="130"/>
      <c r="S12" s="130"/>
      <c r="T12" s="130"/>
      <c r="U12" s="130"/>
      <c r="V12" s="130"/>
    </row>
    <row r="13" spans="1:22" x14ac:dyDescent="0.3">
      <c r="A13" s="526"/>
      <c r="B13" s="129"/>
      <c r="C13" s="130"/>
      <c r="D13" s="130"/>
      <c r="E13" s="130"/>
      <c r="F13" s="130"/>
      <c r="G13" s="130"/>
      <c r="H13" s="130"/>
      <c r="I13" s="130"/>
      <c r="J13" s="130"/>
      <c r="K13" s="130"/>
      <c r="L13" s="130"/>
      <c r="M13" s="130"/>
      <c r="N13" s="130"/>
      <c r="O13" s="130"/>
      <c r="P13" s="130"/>
      <c r="Q13" s="130"/>
      <c r="R13" s="130"/>
      <c r="S13" s="130"/>
      <c r="T13" s="130"/>
      <c r="U13" s="130"/>
      <c r="V13" s="130"/>
    </row>
    <row r="14" spans="1:22" x14ac:dyDescent="0.3">
      <c r="A14" s="526"/>
      <c r="B14" s="129"/>
      <c r="C14" s="130"/>
      <c r="D14" s="130"/>
      <c r="E14" s="130"/>
      <c r="F14" s="130"/>
      <c r="G14" s="130"/>
      <c r="H14" s="130"/>
      <c r="I14" s="130"/>
      <c r="J14" s="130"/>
      <c r="K14" s="130"/>
      <c r="L14" s="130"/>
      <c r="M14" s="130"/>
      <c r="N14" s="130"/>
      <c r="O14" s="130"/>
      <c r="P14" s="130"/>
      <c r="Q14" s="130"/>
      <c r="R14" s="130"/>
      <c r="S14" s="130"/>
      <c r="T14" s="130"/>
      <c r="U14" s="130"/>
      <c r="V14" s="130"/>
    </row>
    <row r="15" spans="1:22" x14ac:dyDescent="0.3">
      <c r="A15" s="526"/>
      <c r="B15" s="129"/>
      <c r="C15" s="130"/>
      <c r="D15" s="130"/>
      <c r="E15" s="130"/>
      <c r="F15" s="130"/>
      <c r="G15" s="130"/>
      <c r="H15" s="130"/>
      <c r="I15" s="130"/>
      <c r="J15" s="130"/>
      <c r="K15" s="130"/>
      <c r="L15" s="130"/>
      <c r="M15" s="130"/>
      <c r="N15" s="130"/>
      <c r="O15" s="130"/>
      <c r="P15" s="130"/>
      <c r="Q15" s="130"/>
      <c r="R15" s="130"/>
      <c r="S15" s="130"/>
      <c r="T15" s="130"/>
      <c r="U15" s="130"/>
      <c r="V15" s="130"/>
    </row>
    <row r="16" spans="1:22" x14ac:dyDescent="0.3">
      <c r="A16" s="526"/>
      <c r="B16" s="129"/>
      <c r="C16" s="130"/>
      <c r="D16" s="130"/>
      <c r="E16" s="130"/>
      <c r="F16" s="130"/>
      <c r="G16" s="130"/>
      <c r="H16" s="130"/>
      <c r="I16" s="130"/>
      <c r="J16" s="130"/>
      <c r="K16" s="130"/>
      <c r="L16" s="130"/>
      <c r="M16" s="130"/>
      <c r="N16" s="130"/>
      <c r="O16" s="130"/>
      <c r="P16" s="130"/>
      <c r="Q16" s="130"/>
      <c r="R16" s="130"/>
      <c r="S16" s="130"/>
      <c r="T16" s="130"/>
      <c r="U16" s="130"/>
      <c r="V16" s="130"/>
    </row>
    <row r="17" spans="1:22" x14ac:dyDescent="0.3">
      <c r="A17" s="526"/>
    </row>
    <row r="18" spans="1:22" x14ac:dyDescent="0.3">
      <c r="A18" s="526"/>
    </row>
    <row r="19" spans="1:22" x14ac:dyDescent="0.3">
      <c r="A19" s="526"/>
      <c r="B19" s="35" t="s">
        <v>163</v>
      </c>
      <c r="L19" s="20"/>
      <c r="M19" s="20"/>
    </row>
    <row r="20" spans="1:22" x14ac:dyDescent="0.3">
      <c r="A20" s="526"/>
      <c r="B20" s="78" t="s">
        <v>82</v>
      </c>
      <c r="C20" s="78">
        <v>2021</v>
      </c>
      <c r="D20" s="79">
        <v>2022</v>
      </c>
      <c r="E20" s="78">
        <v>2023</v>
      </c>
      <c r="F20" s="79">
        <v>2024</v>
      </c>
      <c r="G20" s="78">
        <v>2025</v>
      </c>
      <c r="H20" s="79">
        <v>2026</v>
      </c>
      <c r="I20" s="78">
        <v>2027</v>
      </c>
      <c r="J20" s="79">
        <v>2028</v>
      </c>
      <c r="K20" s="78">
        <v>2029</v>
      </c>
      <c r="L20" s="79">
        <v>2030</v>
      </c>
      <c r="M20" s="78">
        <v>2031</v>
      </c>
      <c r="N20" s="79">
        <v>2032</v>
      </c>
      <c r="O20" s="78">
        <v>2033</v>
      </c>
      <c r="P20" s="79">
        <v>2034</v>
      </c>
      <c r="Q20" s="78">
        <v>2035</v>
      </c>
      <c r="R20" s="79">
        <v>2036</v>
      </c>
      <c r="S20" s="78">
        <v>2037</v>
      </c>
      <c r="T20" s="79">
        <v>2038</v>
      </c>
      <c r="U20" s="78">
        <v>2039</v>
      </c>
      <c r="V20" s="79">
        <v>2040</v>
      </c>
    </row>
    <row r="21" spans="1:22" x14ac:dyDescent="0.3">
      <c r="A21" s="526"/>
      <c r="B21" s="33" t="s">
        <v>43</v>
      </c>
      <c r="C21" s="81" t="str">
        <f>IFERROR(SR_demand_forecast!C129*Historical_Cost!#REF!,"-")</f>
        <v>-</v>
      </c>
      <c r="D21" s="81" t="str">
        <f>IFERROR(SR_demand_forecast!D129*Historical_Cost!#REF!,"-")</f>
        <v>-</v>
      </c>
      <c r="E21" s="81" t="str">
        <f>IFERROR(SR_demand_forecast!E129*Historical_Cost!#REF!,"-")</f>
        <v>-</v>
      </c>
      <c r="F21" s="81" t="str">
        <f>IFERROR(SR_demand_forecast!F129*Historical_Cost!#REF!,"-")</f>
        <v>-</v>
      </c>
      <c r="G21" s="81" t="str">
        <f>IFERROR(SR_demand_forecast!G129*Historical_Cost!#REF!,"-")</f>
        <v>-</v>
      </c>
      <c r="H21" s="81" t="str">
        <f>IFERROR(SR_demand_forecast!H129*Historical_Cost!#REF!,"-")</f>
        <v>-</v>
      </c>
      <c r="I21" s="81" t="str">
        <f>IFERROR(SR_demand_forecast!I129*Historical_Cost!#REF!,"-")</f>
        <v>-</v>
      </c>
      <c r="J21" s="81" t="str">
        <f>IFERROR(SR_demand_forecast!J129*Historical_Cost!#REF!,"-")</f>
        <v>-</v>
      </c>
      <c r="K21" s="81" t="str">
        <f>IFERROR(SR_demand_forecast!K129*Historical_Cost!#REF!,"-")</f>
        <v>-</v>
      </c>
      <c r="L21" s="81" t="str">
        <f>IFERROR(SR_demand_forecast!L129*Historical_Cost!#REF!,"-")</f>
        <v>-</v>
      </c>
      <c r="M21" s="81" t="str">
        <f>IFERROR(SR_demand_forecast!M129*Historical_Cost!#REF!,"-")</f>
        <v>-</v>
      </c>
      <c r="N21" s="81" t="str">
        <f>IFERROR(SR_demand_forecast!N129*Historical_Cost!#REF!,"-")</f>
        <v>-</v>
      </c>
      <c r="O21" s="81" t="str">
        <f>IFERROR(SR_demand_forecast!O129*Historical_Cost!#REF!,"-")</f>
        <v>-</v>
      </c>
      <c r="P21" s="81" t="str">
        <f>IFERROR(SR_demand_forecast!P129*Historical_Cost!#REF!,"-")</f>
        <v>-</v>
      </c>
      <c r="Q21" s="81" t="str">
        <f>IFERROR(SR_demand_forecast!Q129*Historical_Cost!#REF!,"-")</f>
        <v>-</v>
      </c>
      <c r="R21" s="81" t="str">
        <f>IFERROR(SR_demand_forecast!R129*Historical_Cost!#REF!,"-")</f>
        <v>-</v>
      </c>
      <c r="S21" s="81" t="str">
        <f>IFERROR(SR_demand_forecast!S129*Historical_Cost!#REF!,"-")</f>
        <v>-</v>
      </c>
      <c r="T21" s="81" t="str">
        <f>IFERROR(SR_demand_forecast!T129*Historical_Cost!#REF!,"-")</f>
        <v>-</v>
      </c>
      <c r="U21" s="81" t="str">
        <f>IFERROR(SR_demand_forecast!U129*Historical_Cost!#REF!,"-")</f>
        <v>-</v>
      </c>
      <c r="V21" s="81" t="str">
        <f>IFERROR(SR_demand_forecast!V129*Historical_Cost!#REF!,"-")</f>
        <v>-</v>
      </c>
    </row>
    <row r="22" spans="1:22" x14ac:dyDescent="0.3">
      <c r="A22" s="526"/>
      <c r="B22" s="33" t="s">
        <v>41</v>
      </c>
      <c r="C22" s="81" t="str">
        <f>IFERROR(SR_demand_forecast!C130*Historical_Cost!#REF!,"-")</f>
        <v>-</v>
      </c>
      <c r="D22" s="81" t="str">
        <f>IFERROR(SR_demand_forecast!D130*Historical_Cost!#REF!,"-")</f>
        <v>-</v>
      </c>
      <c r="E22" s="81" t="str">
        <f>IFERROR(SR_demand_forecast!E130*Historical_Cost!#REF!,"-")</f>
        <v>-</v>
      </c>
      <c r="F22" s="81" t="str">
        <f>IFERROR(SR_demand_forecast!F130*Historical_Cost!#REF!,"-")</f>
        <v>-</v>
      </c>
      <c r="G22" s="81" t="str">
        <f>IFERROR(SR_demand_forecast!G130*Historical_Cost!#REF!,"-")</f>
        <v>-</v>
      </c>
      <c r="H22" s="81" t="str">
        <f>IFERROR(SR_demand_forecast!H130*Historical_Cost!#REF!,"-")</f>
        <v>-</v>
      </c>
      <c r="I22" s="81" t="str">
        <f>IFERROR(SR_demand_forecast!I130*Historical_Cost!#REF!,"-")</f>
        <v>-</v>
      </c>
      <c r="J22" s="81" t="str">
        <f>IFERROR(SR_demand_forecast!J130*Historical_Cost!#REF!,"-")</f>
        <v>-</v>
      </c>
      <c r="K22" s="81" t="str">
        <f>IFERROR(SR_demand_forecast!K130*Historical_Cost!#REF!,"-")</f>
        <v>-</v>
      </c>
      <c r="L22" s="81" t="str">
        <f>IFERROR(SR_demand_forecast!L130*Historical_Cost!#REF!,"-")</f>
        <v>-</v>
      </c>
      <c r="M22" s="81" t="str">
        <f>IFERROR(SR_demand_forecast!M130*Historical_Cost!#REF!,"-")</f>
        <v>-</v>
      </c>
      <c r="N22" s="81" t="str">
        <f>IFERROR(SR_demand_forecast!N130*Historical_Cost!#REF!,"-")</f>
        <v>-</v>
      </c>
      <c r="O22" s="81" t="str">
        <f>IFERROR(SR_demand_forecast!O130*Historical_Cost!#REF!,"-")</f>
        <v>-</v>
      </c>
      <c r="P22" s="81" t="str">
        <f>IFERROR(SR_demand_forecast!P130*Historical_Cost!#REF!,"-")</f>
        <v>-</v>
      </c>
      <c r="Q22" s="81" t="str">
        <f>IFERROR(SR_demand_forecast!Q130*Historical_Cost!#REF!,"-")</f>
        <v>-</v>
      </c>
      <c r="R22" s="81" t="str">
        <f>IFERROR(SR_demand_forecast!R130*Historical_Cost!#REF!,"-")</f>
        <v>-</v>
      </c>
      <c r="S22" s="81" t="str">
        <f>IFERROR(SR_demand_forecast!S130*Historical_Cost!#REF!,"-")</f>
        <v>-</v>
      </c>
      <c r="T22" s="81" t="str">
        <f>IFERROR(SR_demand_forecast!T130*Historical_Cost!#REF!,"-")</f>
        <v>-</v>
      </c>
      <c r="U22" s="81" t="str">
        <f>IFERROR(SR_demand_forecast!U130*Historical_Cost!#REF!,"-")</f>
        <v>-</v>
      </c>
      <c r="V22" s="81" t="str">
        <f>IFERROR(SR_demand_forecast!V130*Historical_Cost!#REF!,"-")</f>
        <v>-</v>
      </c>
    </row>
    <row r="23" spans="1:22" x14ac:dyDescent="0.3">
      <c r="A23" s="526"/>
      <c r="B23" s="33" t="s">
        <v>40</v>
      </c>
      <c r="C23" s="81" t="str">
        <f>IFERROR(SR_demand_forecast!C131*Historical_Cost!#REF!,"-")</f>
        <v>-</v>
      </c>
      <c r="D23" s="81" t="str">
        <f>IFERROR(SR_demand_forecast!D131*Historical_Cost!#REF!,"-")</f>
        <v>-</v>
      </c>
      <c r="E23" s="81" t="str">
        <f>IFERROR(SR_demand_forecast!E131*Historical_Cost!#REF!,"-")</f>
        <v>-</v>
      </c>
      <c r="F23" s="81" t="str">
        <f>IFERROR(SR_demand_forecast!F131*Historical_Cost!#REF!,"-")</f>
        <v>-</v>
      </c>
      <c r="G23" s="81" t="str">
        <f>IFERROR(SR_demand_forecast!G131*Historical_Cost!#REF!,"-")</f>
        <v>-</v>
      </c>
      <c r="H23" s="81" t="str">
        <f>IFERROR(SR_demand_forecast!H131*Historical_Cost!#REF!,"-")</f>
        <v>-</v>
      </c>
      <c r="I23" s="81" t="str">
        <f>IFERROR(SR_demand_forecast!I131*Historical_Cost!#REF!,"-")</f>
        <v>-</v>
      </c>
      <c r="J23" s="81" t="str">
        <f>IFERROR(SR_demand_forecast!J131*Historical_Cost!#REF!,"-")</f>
        <v>-</v>
      </c>
      <c r="K23" s="81" t="str">
        <f>IFERROR(SR_demand_forecast!K131*Historical_Cost!#REF!,"-")</f>
        <v>-</v>
      </c>
      <c r="L23" s="81" t="str">
        <f>IFERROR(SR_demand_forecast!L131*Historical_Cost!#REF!,"-")</f>
        <v>-</v>
      </c>
      <c r="M23" s="81" t="str">
        <f>IFERROR(SR_demand_forecast!M131*Historical_Cost!#REF!,"-")</f>
        <v>-</v>
      </c>
      <c r="N23" s="81" t="str">
        <f>IFERROR(SR_demand_forecast!N131*Historical_Cost!#REF!,"-")</f>
        <v>-</v>
      </c>
      <c r="O23" s="81" t="str">
        <f>IFERROR(SR_demand_forecast!O131*Historical_Cost!#REF!,"-")</f>
        <v>-</v>
      </c>
      <c r="P23" s="81" t="str">
        <f>IFERROR(SR_demand_forecast!P131*Historical_Cost!#REF!,"-")</f>
        <v>-</v>
      </c>
      <c r="Q23" s="81" t="str">
        <f>IFERROR(SR_demand_forecast!Q131*Historical_Cost!#REF!,"-")</f>
        <v>-</v>
      </c>
      <c r="R23" s="81" t="str">
        <f>IFERROR(SR_demand_forecast!R131*Historical_Cost!#REF!,"-")</f>
        <v>-</v>
      </c>
      <c r="S23" s="81" t="str">
        <f>IFERROR(SR_demand_forecast!S131*Historical_Cost!#REF!,"-")</f>
        <v>-</v>
      </c>
      <c r="T23" s="81" t="str">
        <f>IFERROR(SR_demand_forecast!T131*Historical_Cost!#REF!,"-")</f>
        <v>-</v>
      </c>
      <c r="U23" s="81" t="str">
        <f>IFERROR(SR_demand_forecast!U131*Historical_Cost!#REF!,"-")</f>
        <v>-</v>
      </c>
      <c r="V23" s="81" t="str">
        <f>IFERROR(SR_demand_forecast!V131*Historical_Cost!#REF!,"-")</f>
        <v>-</v>
      </c>
    </row>
    <row r="24" spans="1:22" x14ac:dyDescent="0.3">
      <c r="A24" s="526"/>
      <c r="B24" s="33" t="s">
        <v>80</v>
      </c>
      <c r="C24" s="81" t="str">
        <f>IFERROR(SR_demand_forecast!C132*Historical_Cost!#REF!,"-")</f>
        <v>-</v>
      </c>
      <c r="D24" s="81" t="str">
        <f>IFERROR(SR_demand_forecast!D132*Historical_Cost!#REF!,"-")</f>
        <v>-</v>
      </c>
      <c r="E24" s="81" t="str">
        <f>IFERROR(SR_demand_forecast!E132*Historical_Cost!#REF!,"-")</f>
        <v>-</v>
      </c>
      <c r="F24" s="81" t="str">
        <f>IFERROR(SR_demand_forecast!F132*Historical_Cost!#REF!,"-")</f>
        <v>-</v>
      </c>
      <c r="G24" s="81" t="str">
        <f>IFERROR(SR_demand_forecast!G132*Historical_Cost!#REF!,"-")</f>
        <v>-</v>
      </c>
      <c r="H24" s="81" t="str">
        <f>IFERROR(SR_demand_forecast!H132*Historical_Cost!#REF!,"-")</f>
        <v>-</v>
      </c>
      <c r="I24" s="81" t="str">
        <f>IFERROR(SR_demand_forecast!I132*Historical_Cost!#REF!,"-")</f>
        <v>-</v>
      </c>
      <c r="J24" s="81" t="str">
        <f>IFERROR(SR_demand_forecast!J132*Historical_Cost!#REF!,"-")</f>
        <v>-</v>
      </c>
      <c r="K24" s="81" t="str">
        <f>IFERROR(SR_demand_forecast!K132*Historical_Cost!#REF!,"-")</f>
        <v>-</v>
      </c>
      <c r="L24" s="81" t="str">
        <f>IFERROR(SR_demand_forecast!L132*Historical_Cost!#REF!,"-")</f>
        <v>-</v>
      </c>
      <c r="M24" s="81" t="str">
        <f>IFERROR(SR_demand_forecast!M132*Historical_Cost!#REF!,"-")</f>
        <v>-</v>
      </c>
      <c r="N24" s="81" t="str">
        <f>IFERROR(SR_demand_forecast!N132*Historical_Cost!#REF!,"-")</f>
        <v>-</v>
      </c>
      <c r="O24" s="81" t="str">
        <f>IFERROR(SR_demand_forecast!O132*Historical_Cost!#REF!,"-")</f>
        <v>-</v>
      </c>
      <c r="P24" s="81" t="str">
        <f>IFERROR(SR_demand_forecast!P132*Historical_Cost!#REF!,"-")</f>
        <v>-</v>
      </c>
      <c r="Q24" s="81" t="str">
        <f>IFERROR(SR_demand_forecast!Q132*Historical_Cost!#REF!,"-")</f>
        <v>-</v>
      </c>
      <c r="R24" s="81" t="str">
        <f>IFERROR(SR_demand_forecast!R132*Historical_Cost!#REF!,"-")</f>
        <v>-</v>
      </c>
      <c r="S24" s="81" t="str">
        <f>IFERROR(SR_demand_forecast!S132*Historical_Cost!#REF!,"-")</f>
        <v>-</v>
      </c>
      <c r="T24" s="81" t="str">
        <f>IFERROR(SR_demand_forecast!T132*Historical_Cost!#REF!,"-")</f>
        <v>-</v>
      </c>
      <c r="U24" s="81" t="str">
        <f>IFERROR(SR_demand_forecast!U132*Historical_Cost!#REF!,"-")</f>
        <v>-</v>
      </c>
      <c r="V24" s="81" t="str">
        <f>IFERROR(SR_demand_forecast!V132*Historical_Cost!#REF!,"-")</f>
        <v>-</v>
      </c>
    </row>
    <row r="25" spans="1:22" x14ac:dyDescent="0.3">
      <c r="A25" s="526"/>
      <c r="B25" s="33" t="s">
        <v>44</v>
      </c>
      <c r="C25" s="81" t="str">
        <f>IFERROR(SR_demand_forecast!C133*Historical_Cost!#REF!,"-")</f>
        <v>-</v>
      </c>
      <c r="D25" s="81" t="str">
        <f>IFERROR(SR_demand_forecast!D133*Historical_Cost!#REF!,"-")</f>
        <v>-</v>
      </c>
      <c r="E25" s="81" t="str">
        <f>IFERROR(SR_demand_forecast!E133*Historical_Cost!#REF!,"-")</f>
        <v>-</v>
      </c>
      <c r="F25" s="81" t="str">
        <f>IFERROR(SR_demand_forecast!F133*Historical_Cost!#REF!,"-")</f>
        <v>-</v>
      </c>
      <c r="G25" s="81" t="str">
        <f>IFERROR(SR_demand_forecast!G133*Historical_Cost!#REF!,"-")</f>
        <v>-</v>
      </c>
      <c r="H25" s="81" t="str">
        <f>IFERROR(SR_demand_forecast!H133*Historical_Cost!#REF!,"-")</f>
        <v>-</v>
      </c>
      <c r="I25" s="81" t="str">
        <f>IFERROR(SR_demand_forecast!I133*Historical_Cost!#REF!,"-")</f>
        <v>-</v>
      </c>
      <c r="J25" s="81" t="str">
        <f>IFERROR(SR_demand_forecast!J133*Historical_Cost!#REF!,"-")</f>
        <v>-</v>
      </c>
      <c r="K25" s="81" t="str">
        <f>IFERROR(SR_demand_forecast!K133*Historical_Cost!#REF!,"-")</f>
        <v>-</v>
      </c>
      <c r="L25" s="81" t="str">
        <f>IFERROR(SR_demand_forecast!L133*Historical_Cost!#REF!,"-")</f>
        <v>-</v>
      </c>
      <c r="M25" s="81" t="str">
        <f>IFERROR(SR_demand_forecast!M133*Historical_Cost!#REF!,"-")</f>
        <v>-</v>
      </c>
      <c r="N25" s="81" t="str">
        <f>IFERROR(SR_demand_forecast!N133*Historical_Cost!#REF!,"-")</f>
        <v>-</v>
      </c>
      <c r="O25" s="81" t="str">
        <f>IFERROR(SR_demand_forecast!O133*Historical_Cost!#REF!,"-")</f>
        <v>-</v>
      </c>
      <c r="P25" s="81" t="str">
        <f>IFERROR(SR_demand_forecast!P133*Historical_Cost!#REF!,"-")</f>
        <v>-</v>
      </c>
      <c r="Q25" s="81" t="str">
        <f>IFERROR(SR_demand_forecast!Q133*Historical_Cost!#REF!,"-")</f>
        <v>-</v>
      </c>
      <c r="R25" s="81" t="str">
        <f>IFERROR(SR_demand_forecast!R133*Historical_Cost!#REF!,"-")</f>
        <v>-</v>
      </c>
      <c r="S25" s="81" t="str">
        <f>IFERROR(SR_demand_forecast!S133*Historical_Cost!#REF!,"-")</f>
        <v>-</v>
      </c>
      <c r="T25" s="81" t="str">
        <f>IFERROR(SR_demand_forecast!T133*Historical_Cost!#REF!,"-")</f>
        <v>-</v>
      </c>
      <c r="U25" s="81" t="str">
        <f>IFERROR(SR_demand_forecast!U133*Historical_Cost!#REF!,"-")</f>
        <v>-</v>
      </c>
      <c r="V25" s="81" t="str">
        <f>IFERROR(SR_demand_forecast!V133*Historical_Cost!#REF!,"-")</f>
        <v>-</v>
      </c>
    </row>
    <row r="26" spans="1:22" x14ac:dyDescent="0.3">
      <c r="A26" s="526"/>
      <c r="B26" s="33" t="s">
        <v>81</v>
      </c>
      <c r="C26" s="81" t="str">
        <f>IFERROR(SR_demand_forecast!C134*Historical_Cost!#REF!,"-")</f>
        <v>-</v>
      </c>
      <c r="D26" s="81" t="str">
        <f>IFERROR(SR_demand_forecast!D134*Historical_Cost!#REF!,"-")</f>
        <v>-</v>
      </c>
      <c r="E26" s="81" t="str">
        <f>IFERROR(SR_demand_forecast!E134*Historical_Cost!#REF!,"-")</f>
        <v>-</v>
      </c>
      <c r="F26" s="81" t="str">
        <f>IFERROR(SR_demand_forecast!F134*Historical_Cost!#REF!,"-")</f>
        <v>-</v>
      </c>
      <c r="G26" s="81" t="str">
        <f>IFERROR(SR_demand_forecast!G134*Historical_Cost!#REF!,"-")</f>
        <v>-</v>
      </c>
      <c r="H26" s="81" t="str">
        <f>IFERROR(SR_demand_forecast!H134*Historical_Cost!#REF!,"-")</f>
        <v>-</v>
      </c>
      <c r="I26" s="81" t="str">
        <f>IFERROR(SR_demand_forecast!I134*Historical_Cost!#REF!,"-")</f>
        <v>-</v>
      </c>
      <c r="J26" s="81" t="str">
        <f>IFERROR(SR_demand_forecast!J134*Historical_Cost!#REF!,"-")</f>
        <v>-</v>
      </c>
      <c r="K26" s="81" t="str">
        <f>IFERROR(SR_demand_forecast!K134*Historical_Cost!#REF!,"-")</f>
        <v>-</v>
      </c>
      <c r="L26" s="81" t="str">
        <f>IFERROR(SR_demand_forecast!L134*Historical_Cost!#REF!,"-")</f>
        <v>-</v>
      </c>
      <c r="M26" s="81" t="str">
        <f>IFERROR(SR_demand_forecast!M134*Historical_Cost!#REF!,"-")</f>
        <v>-</v>
      </c>
      <c r="N26" s="81" t="str">
        <f>IFERROR(SR_demand_forecast!N134*Historical_Cost!#REF!,"-")</f>
        <v>-</v>
      </c>
      <c r="O26" s="81" t="str">
        <f>IFERROR(SR_demand_forecast!O134*Historical_Cost!#REF!,"-")</f>
        <v>-</v>
      </c>
      <c r="P26" s="81" t="str">
        <f>IFERROR(SR_demand_forecast!P134*Historical_Cost!#REF!,"-")</f>
        <v>-</v>
      </c>
      <c r="Q26" s="81" t="str">
        <f>IFERROR(SR_demand_forecast!Q134*Historical_Cost!#REF!,"-")</f>
        <v>-</v>
      </c>
      <c r="R26" s="81" t="str">
        <f>IFERROR(SR_demand_forecast!R134*Historical_Cost!#REF!,"-")</f>
        <v>-</v>
      </c>
      <c r="S26" s="81" t="str">
        <f>IFERROR(SR_demand_forecast!S134*Historical_Cost!#REF!,"-")</f>
        <v>-</v>
      </c>
      <c r="T26" s="81" t="str">
        <f>IFERROR(SR_demand_forecast!T134*Historical_Cost!#REF!,"-")</f>
        <v>-</v>
      </c>
      <c r="U26" s="81" t="str">
        <f>IFERROR(SR_demand_forecast!U134*Historical_Cost!#REF!,"-")</f>
        <v>-</v>
      </c>
      <c r="V26" s="81" t="str">
        <f>IFERROR(SR_demand_forecast!V134*Historical_Cost!#REF!,"-")</f>
        <v>-</v>
      </c>
    </row>
    <row r="27" spans="1:22" x14ac:dyDescent="0.3">
      <c r="A27" s="526"/>
      <c r="B27" s="33" t="s">
        <v>42</v>
      </c>
      <c r="C27" s="81" t="str">
        <f>IFERROR(SR_demand_forecast!C135*Historical_Cost!#REF!,"-")</f>
        <v>-</v>
      </c>
      <c r="D27" s="81" t="str">
        <f>IFERROR(SR_demand_forecast!D135*Historical_Cost!#REF!,"-")</f>
        <v>-</v>
      </c>
      <c r="E27" s="81" t="str">
        <f>IFERROR(SR_demand_forecast!E135*Historical_Cost!#REF!,"-")</f>
        <v>-</v>
      </c>
      <c r="F27" s="81" t="str">
        <f>IFERROR(SR_demand_forecast!F135*Historical_Cost!#REF!,"-")</f>
        <v>-</v>
      </c>
      <c r="G27" s="81" t="str">
        <f>IFERROR(SR_demand_forecast!G135*Historical_Cost!#REF!,"-")</f>
        <v>-</v>
      </c>
      <c r="H27" s="81" t="str">
        <f>IFERROR(SR_demand_forecast!H135*Historical_Cost!#REF!,"-")</f>
        <v>-</v>
      </c>
      <c r="I27" s="81" t="str">
        <f>IFERROR(SR_demand_forecast!I135*Historical_Cost!#REF!,"-")</f>
        <v>-</v>
      </c>
      <c r="J27" s="81" t="str">
        <f>IFERROR(SR_demand_forecast!J135*Historical_Cost!#REF!,"-")</f>
        <v>-</v>
      </c>
      <c r="K27" s="81" t="str">
        <f>IFERROR(SR_demand_forecast!K135*Historical_Cost!#REF!,"-")</f>
        <v>-</v>
      </c>
      <c r="L27" s="81" t="str">
        <f>IFERROR(SR_demand_forecast!L135*Historical_Cost!#REF!,"-")</f>
        <v>-</v>
      </c>
      <c r="M27" s="81" t="str">
        <f>IFERROR(SR_demand_forecast!M135*Historical_Cost!#REF!,"-")</f>
        <v>-</v>
      </c>
      <c r="N27" s="81" t="str">
        <f>IFERROR(SR_demand_forecast!N135*Historical_Cost!#REF!,"-")</f>
        <v>-</v>
      </c>
      <c r="O27" s="81" t="str">
        <f>IFERROR(SR_demand_forecast!O135*Historical_Cost!#REF!,"-")</f>
        <v>-</v>
      </c>
      <c r="P27" s="81" t="str">
        <f>IFERROR(SR_demand_forecast!P135*Historical_Cost!#REF!,"-")</f>
        <v>-</v>
      </c>
      <c r="Q27" s="81" t="str">
        <f>IFERROR(SR_demand_forecast!Q135*Historical_Cost!#REF!,"-")</f>
        <v>-</v>
      </c>
      <c r="R27" s="81" t="str">
        <f>IFERROR(SR_demand_forecast!R135*Historical_Cost!#REF!,"-")</f>
        <v>-</v>
      </c>
      <c r="S27" s="81" t="str">
        <f>IFERROR(SR_demand_forecast!S135*Historical_Cost!#REF!,"-")</f>
        <v>-</v>
      </c>
      <c r="T27" s="81" t="str">
        <f>IFERROR(SR_demand_forecast!T135*Historical_Cost!#REF!,"-")</f>
        <v>-</v>
      </c>
      <c r="U27" s="81" t="str">
        <f>IFERROR(SR_demand_forecast!U135*Historical_Cost!#REF!,"-")</f>
        <v>-</v>
      </c>
      <c r="V27" s="81" t="str">
        <f>IFERROR(SR_demand_forecast!V135*Historical_Cost!#REF!,"-")</f>
        <v>-</v>
      </c>
    </row>
    <row r="28" spans="1:22" x14ac:dyDescent="0.3">
      <c r="A28" s="526"/>
      <c r="B28" s="33" t="s">
        <v>45</v>
      </c>
      <c r="C28" s="81" t="str">
        <f>IFERROR(SR_demand_forecast!C136*Historical_Cost!#REF!,"-")</f>
        <v>-</v>
      </c>
      <c r="D28" s="81" t="str">
        <f>IFERROR(SR_demand_forecast!D136*Historical_Cost!#REF!,"-")</f>
        <v>-</v>
      </c>
      <c r="E28" s="81" t="str">
        <f>IFERROR(SR_demand_forecast!E136*Historical_Cost!#REF!,"-")</f>
        <v>-</v>
      </c>
      <c r="F28" s="81" t="str">
        <f>IFERROR(SR_demand_forecast!F136*Historical_Cost!#REF!,"-")</f>
        <v>-</v>
      </c>
      <c r="G28" s="81" t="str">
        <f>IFERROR(SR_demand_forecast!G136*Historical_Cost!#REF!,"-")</f>
        <v>-</v>
      </c>
      <c r="H28" s="81" t="str">
        <f>IFERROR(SR_demand_forecast!H136*Historical_Cost!#REF!,"-")</f>
        <v>-</v>
      </c>
      <c r="I28" s="81" t="str">
        <f>IFERROR(SR_demand_forecast!I136*Historical_Cost!#REF!,"-")</f>
        <v>-</v>
      </c>
      <c r="J28" s="81" t="str">
        <f>IFERROR(SR_demand_forecast!J136*Historical_Cost!#REF!,"-")</f>
        <v>-</v>
      </c>
      <c r="K28" s="81" t="str">
        <f>IFERROR(SR_demand_forecast!K136*Historical_Cost!#REF!,"-")</f>
        <v>-</v>
      </c>
      <c r="L28" s="81" t="str">
        <f>IFERROR(SR_demand_forecast!L136*Historical_Cost!#REF!,"-")</f>
        <v>-</v>
      </c>
      <c r="M28" s="81" t="str">
        <f>IFERROR(SR_demand_forecast!M136*Historical_Cost!#REF!,"-")</f>
        <v>-</v>
      </c>
      <c r="N28" s="81" t="str">
        <f>IFERROR(SR_demand_forecast!N136*Historical_Cost!#REF!,"-")</f>
        <v>-</v>
      </c>
      <c r="O28" s="81" t="str">
        <f>IFERROR(SR_demand_forecast!O136*Historical_Cost!#REF!,"-")</f>
        <v>-</v>
      </c>
      <c r="P28" s="81" t="str">
        <f>IFERROR(SR_demand_forecast!P136*Historical_Cost!#REF!,"-")</f>
        <v>-</v>
      </c>
      <c r="Q28" s="81" t="str">
        <f>IFERROR(SR_demand_forecast!Q136*Historical_Cost!#REF!,"-")</f>
        <v>-</v>
      </c>
      <c r="R28" s="81" t="str">
        <f>IFERROR(SR_demand_forecast!R136*Historical_Cost!#REF!,"-")</f>
        <v>-</v>
      </c>
      <c r="S28" s="81" t="str">
        <f>IFERROR(SR_demand_forecast!S136*Historical_Cost!#REF!,"-")</f>
        <v>-</v>
      </c>
      <c r="T28" s="81" t="str">
        <f>IFERROR(SR_demand_forecast!T136*Historical_Cost!#REF!,"-")</f>
        <v>-</v>
      </c>
      <c r="U28" s="81" t="str">
        <f>IFERROR(SR_demand_forecast!U136*Historical_Cost!#REF!,"-")</f>
        <v>-</v>
      </c>
      <c r="V28" s="81" t="str">
        <f>IFERROR(SR_demand_forecast!V136*Historical_Cost!#REF!,"-")</f>
        <v>-</v>
      </c>
    </row>
    <row r="29" spans="1:22" x14ac:dyDescent="0.3">
      <c r="A29" s="526"/>
      <c r="B29" s="33" t="s">
        <v>84</v>
      </c>
      <c r="C29" s="128">
        <f t="shared" ref="C29:V29" si="1">SUM(C21:C28)</f>
        <v>0</v>
      </c>
      <c r="D29" s="128">
        <f t="shared" si="1"/>
        <v>0</v>
      </c>
      <c r="E29" s="128">
        <f t="shared" si="1"/>
        <v>0</v>
      </c>
      <c r="F29" s="128">
        <f t="shared" si="1"/>
        <v>0</v>
      </c>
      <c r="G29" s="128">
        <f t="shared" si="1"/>
        <v>0</v>
      </c>
      <c r="H29" s="128">
        <f t="shared" si="1"/>
        <v>0</v>
      </c>
      <c r="I29" s="128">
        <f t="shared" si="1"/>
        <v>0</v>
      </c>
      <c r="J29" s="128">
        <f t="shared" si="1"/>
        <v>0</v>
      </c>
      <c r="K29" s="128">
        <f t="shared" si="1"/>
        <v>0</v>
      </c>
      <c r="L29" s="128">
        <f t="shared" si="1"/>
        <v>0</v>
      </c>
      <c r="M29" s="128">
        <f t="shared" si="1"/>
        <v>0</v>
      </c>
      <c r="N29" s="128">
        <f t="shared" si="1"/>
        <v>0</v>
      </c>
      <c r="O29" s="128">
        <f t="shared" si="1"/>
        <v>0</v>
      </c>
      <c r="P29" s="128">
        <f t="shared" si="1"/>
        <v>0</v>
      </c>
      <c r="Q29" s="128">
        <f t="shared" si="1"/>
        <v>0</v>
      </c>
      <c r="R29" s="128">
        <f t="shared" si="1"/>
        <v>0</v>
      </c>
      <c r="S29" s="128">
        <f t="shared" si="1"/>
        <v>0</v>
      </c>
      <c r="T29" s="128">
        <f t="shared" si="1"/>
        <v>0</v>
      </c>
      <c r="U29" s="128">
        <f t="shared" si="1"/>
        <v>0</v>
      </c>
      <c r="V29" s="128">
        <f t="shared" si="1"/>
        <v>0</v>
      </c>
    </row>
    <row r="30" spans="1:22" x14ac:dyDescent="0.3">
      <c r="A30" s="526"/>
    </row>
    <row r="31" spans="1:22" x14ac:dyDescent="0.3">
      <c r="A31" s="526"/>
    </row>
    <row r="32" spans="1:22" x14ac:dyDescent="0.3">
      <c r="A32" s="526"/>
    </row>
    <row r="33" spans="1:22" x14ac:dyDescent="0.3">
      <c r="A33" s="526"/>
    </row>
    <row r="34" spans="1:22" x14ac:dyDescent="0.3">
      <c r="A34" s="526"/>
    </row>
    <row r="35" spans="1:22" x14ac:dyDescent="0.3">
      <c r="A35" s="526"/>
    </row>
    <row r="36" spans="1:22" x14ac:dyDescent="0.3">
      <c r="A36" s="526"/>
    </row>
    <row r="37" spans="1:22" x14ac:dyDescent="0.3">
      <c r="A37" s="526"/>
      <c r="B37" s="35" t="s">
        <v>164</v>
      </c>
      <c r="L37" s="20"/>
      <c r="M37" s="20"/>
    </row>
    <row r="38" spans="1:22" x14ac:dyDescent="0.3">
      <c r="A38" s="526"/>
      <c r="B38" s="78" t="s">
        <v>82</v>
      </c>
      <c r="C38" s="78">
        <v>2021</v>
      </c>
      <c r="D38" s="79">
        <v>2022</v>
      </c>
      <c r="E38" s="78">
        <v>2023</v>
      </c>
      <c r="F38" s="79">
        <v>2024</v>
      </c>
      <c r="G38" s="78">
        <v>2025</v>
      </c>
      <c r="H38" s="79">
        <v>2026</v>
      </c>
      <c r="I38" s="78">
        <v>2027</v>
      </c>
      <c r="J38" s="79">
        <v>2028</v>
      </c>
      <c r="K38" s="78">
        <v>2029</v>
      </c>
      <c r="L38" s="79">
        <v>2030</v>
      </c>
      <c r="M38" s="78">
        <v>2031</v>
      </c>
      <c r="N38" s="79">
        <v>2032</v>
      </c>
      <c r="O38" s="78">
        <v>2033</v>
      </c>
      <c r="P38" s="79">
        <v>2034</v>
      </c>
      <c r="Q38" s="78">
        <v>2035</v>
      </c>
      <c r="R38" s="79">
        <v>2036</v>
      </c>
      <c r="S38" s="78">
        <v>2037</v>
      </c>
      <c r="T38" s="79">
        <v>2038</v>
      </c>
      <c r="U38" s="78">
        <v>2039</v>
      </c>
      <c r="V38" s="79">
        <v>2040</v>
      </c>
    </row>
    <row r="39" spans="1:22" x14ac:dyDescent="0.3">
      <c r="A39" s="526"/>
      <c r="B39" s="33" t="s">
        <v>43</v>
      </c>
      <c r="C39" s="81" t="str">
        <f>IFERROR(SR_demand_forecast!C202*Historical_Cost!#REF!,"-")</f>
        <v>-</v>
      </c>
      <c r="D39" s="81" t="str">
        <f>IFERROR(SR_demand_forecast!D202*Historical_Cost!#REF!,"-")</f>
        <v>-</v>
      </c>
      <c r="E39" s="81" t="str">
        <f>IFERROR(SR_demand_forecast!E202*Historical_Cost!#REF!,"-")</f>
        <v>-</v>
      </c>
      <c r="F39" s="81" t="str">
        <f>IFERROR(SR_demand_forecast!F202*Historical_Cost!#REF!,"-")</f>
        <v>-</v>
      </c>
      <c r="G39" s="81" t="str">
        <f>IFERROR(SR_demand_forecast!G202*Historical_Cost!#REF!,"-")</f>
        <v>-</v>
      </c>
      <c r="H39" s="81" t="str">
        <f>IFERROR(SR_demand_forecast!H202*Historical_Cost!#REF!,"-")</f>
        <v>-</v>
      </c>
      <c r="I39" s="81" t="str">
        <f>IFERROR(SR_demand_forecast!I202*Historical_Cost!#REF!,"-")</f>
        <v>-</v>
      </c>
      <c r="J39" s="81" t="str">
        <f>IFERROR(SR_demand_forecast!J202*Historical_Cost!#REF!,"-")</f>
        <v>-</v>
      </c>
      <c r="K39" s="81" t="str">
        <f>IFERROR(SR_demand_forecast!K202*Historical_Cost!#REF!,"-")</f>
        <v>-</v>
      </c>
      <c r="L39" s="81" t="str">
        <f>IFERROR(SR_demand_forecast!L202*Historical_Cost!#REF!,"-")</f>
        <v>-</v>
      </c>
      <c r="M39" s="81" t="str">
        <f>IFERROR(SR_demand_forecast!M202*Historical_Cost!#REF!,"-")</f>
        <v>-</v>
      </c>
      <c r="N39" s="81" t="str">
        <f>IFERROR(SR_demand_forecast!N202*Historical_Cost!#REF!,"-")</f>
        <v>-</v>
      </c>
      <c r="O39" s="81" t="str">
        <f>IFERROR(SR_demand_forecast!O202*Historical_Cost!#REF!,"-")</f>
        <v>-</v>
      </c>
      <c r="P39" s="81" t="str">
        <f>IFERROR(SR_demand_forecast!P202*Historical_Cost!#REF!,"-")</f>
        <v>-</v>
      </c>
      <c r="Q39" s="81" t="str">
        <f>IFERROR(SR_demand_forecast!Q202*Historical_Cost!#REF!,"-")</f>
        <v>-</v>
      </c>
      <c r="R39" s="81" t="str">
        <f>IFERROR(SR_demand_forecast!R202*Historical_Cost!#REF!,"-")</f>
        <v>-</v>
      </c>
      <c r="S39" s="81" t="str">
        <f>IFERROR(SR_demand_forecast!S202*Historical_Cost!#REF!,"-")</f>
        <v>-</v>
      </c>
      <c r="T39" s="81" t="str">
        <f>IFERROR(SR_demand_forecast!T202*Historical_Cost!#REF!,"-")</f>
        <v>-</v>
      </c>
      <c r="U39" s="81" t="str">
        <f>IFERROR(SR_demand_forecast!U202*Historical_Cost!#REF!,"-")</f>
        <v>-</v>
      </c>
      <c r="V39" s="81" t="str">
        <f>IFERROR(SR_demand_forecast!V202*Historical_Cost!#REF!,"-")</f>
        <v>-</v>
      </c>
    </row>
    <row r="40" spans="1:22" x14ac:dyDescent="0.3">
      <c r="A40" s="526"/>
      <c r="B40" s="33" t="s">
        <v>41</v>
      </c>
      <c r="C40" s="81" t="str">
        <f>IFERROR(SR_demand_forecast!C203*Historical_Cost!#REF!,"-")</f>
        <v>-</v>
      </c>
      <c r="D40" s="81" t="str">
        <f>IFERROR(SR_demand_forecast!D203*Historical_Cost!#REF!,"-")</f>
        <v>-</v>
      </c>
      <c r="E40" s="81" t="str">
        <f>IFERROR(SR_demand_forecast!E203*Historical_Cost!#REF!,"-")</f>
        <v>-</v>
      </c>
      <c r="F40" s="81" t="str">
        <f>IFERROR(SR_demand_forecast!F203*Historical_Cost!#REF!,"-")</f>
        <v>-</v>
      </c>
      <c r="G40" s="81" t="str">
        <f>IFERROR(SR_demand_forecast!G203*Historical_Cost!#REF!,"-")</f>
        <v>-</v>
      </c>
      <c r="H40" s="81" t="str">
        <f>IFERROR(SR_demand_forecast!H203*Historical_Cost!#REF!,"-")</f>
        <v>-</v>
      </c>
      <c r="I40" s="81" t="str">
        <f>IFERROR(SR_demand_forecast!I203*Historical_Cost!#REF!,"-")</f>
        <v>-</v>
      </c>
      <c r="J40" s="81" t="str">
        <f>IFERROR(SR_demand_forecast!J203*Historical_Cost!#REF!,"-")</f>
        <v>-</v>
      </c>
      <c r="K40" s="81" t="str">
        <f>IFERROR(SR_demand_forecast!K203*Historical_Cost!#REF!,"-")</f>
        <v>-</v>
      </c>
      <c r="L40" s="81" t="str">
        <f>IFERROR(SR_demand_forecast!L203*Historical_Cost!#REF!,"-")</f>
        <v>-</v>
      </c>
      <c r="M40" s="81" t="str">
        <f>IFERROR(SR_demand_forecast!M203*Historical_Cost!#REF!,"-")</f>
        <v>-</v>
      </c>
      <c r="N40" s="81" t="str">
        <f>IFERROR(SR_demand_forecast!N203*Historical_Cost!#REF!,"-")</f>
        <v>-</v>
      </c>
      <c r="O40" s="81" t="str">
        <f>IFERROR(SR_demand_forecast!O203*Historical_Cost!#REF!,"-")</f>
        <v>-</v>
      </c>
      <c r="P40" s="81" t="str">
        <f>IFERROR(SR_demand_forecast!P203*Historical_Cost!#REF!,"-")</f>
        <v>-</v>
      </c>
      <c r="Q40" s="81" t="str">
        <f>IFERROR(SR_demand_forecast!Q203*Historical_Cost!#REF!,"-")</f>
        <v>-</v>
      </c>
      <c r="R40" s="81" t="str">
        <f>IFERROR(SR_demand_forecast!R203*Historical_Cost!#REF!,"-")</f>
        <v>-</v>
      </c>
      <c r="S40" s="81" t="str">
        <f>IFERROR(SR_demand_forecast!S203*Historical_Cost!#REF!,"-")</f>
        <v>-</v>
      </c>
      <c r="T40" s="81" t="str">
        <f>IFERROR(SR_demand_forecast!T203*Historical_Cost!#REF!,"-")</f>
        <v>-</v>
      </c>
      <c r="U40" s="81" t="str">
        <f>IFERROR(SR_demand_forecast!U203*Historical_Cost!#REF!,"-")</f>
        <v>-</v>
      </c>
      <c r="V40" s="81" t="str">
        <f>IFERROR(SR_demand_forecast!V203*Historical_Cost!#REF!,"-")</f>
        <v>-</v>
      </c>
    </row>
    <row r="41" spans="1:22" x14ac:dyDescent="0.3">
      <c r="A41" s="526"/>
      <c r="B41" s="33" t="s">
        <v>40</v>
      </c>
      <c r="C41" s="81" t="str">
        <f>IFERROR(SR_demand_forecast!C204*Historical_Cost!#REF!,"-")</f>
        <v>-</v>
      </c>
      <c r="D41" s="81" t="str">
        <f>IFERROR(SR_demand_forecast!D204*Historical_Cost!#REF!,"-")</f>
        <v>-</v>
      </c>
      <c r="E41" s="81" t="str">
        <f>IFERROR(SR_demand_forecast!E204*Historical_Cost!#REF!,"-")</f>
        <v>-</v>
      </c>
      <c r="F41" s="81" t="str">
        <f>IFERROR(SR_demand_forecast!F204*Historical_Cost!#REF!,"-")</f>
        <v>-</v>
      </c>
      <c r="G41" s="81" t="str">
        <f>IFERROR(SR_demand_forecast!G204*Historical_Cost!#REF!,"-")</f>
        <v>-</v>
      </c>
      <c r="H41" s="81" t="str">
        <f>IFERROR(SR_demand_forecast!H204*Historical_Cost!#REF!,"-")</f>
        <v>-</v>
      </c>
      <c r="I41" s="81" t="str">
        <f>IFERROR(SR_demand_forecast!I204*Historical_Cost!#REF!,"-")</f>
        <v>-</v>
      </c>
      <c r="J41" s="81" t="str">
        <f>IFERROR(SR_demand_forecast!J204*Historical_Cost!#REF!,"-")</f>
        <v>-</v>
      </c>
      <c r="K41" s="81" t="str">
        <f>IFERROR(SR_demand_forecast!K204*Historical_Cost!#REF!,"-")</f>
        <v>-</v>
      </c>
      <c r="L41" s="81" t="str">
        <f>IFERROR(SR_demand_forecast!L204*Historical_Cost!#REF!,"-")</f>
        <v>-</v>
      </c>
      <c r="M41" s="81" t="str">
        <f>IFERROR(SR_demand_forecast!M204*Historical_Cost!#REF!,"-")</f>
        <v>-</v>
      </c>
      <c r="N41" s="81" t="str">
        <f>IFERROR(SR_demand_forecast!N204*Historical_Cost!#REF!,"-")</f>
        <v>-</v>
      </c>
      <c r="O41" s="81" t="str">
        <f>IFERROR(SR_demand_forecast!O204*Historical_Cost!#REF!,"-")</f>
        <v>-</v>
      </c>
      <c r="P41" s="81" t="str">
        <f>IFERROR(SR_demand_forecast!P204*Historical_Cost!#REF!,"-")</f>
        <v>-</v>
      </c>
      <c r="Q41" s="81" t="str">
        <f>IFERROR(SR_demand_forecast!Q204*Historical_Cost!#REF!,"-")</f>
        <v>-</v>
      </c>
      <c r="R41" s="81" t="str">
        <f>IFERROR(SR_demand_forecast!R204*Historical_Cost!#REF!,"-")</f>
        <v>-</v>
      </c>
      <c r="S41" s="81" t="str">
        <f>IFERROR(SR_demand_forecast!S204*Historical_Cost!#REF!,"-")</f>
        <v>-</v>
      </c>
      <c r="T41" s="81" t="str">
        <f>IFERROR(SR_demand_forecast!T204*Historical_Cost!#REF!,"-")</f>
        <v>-</v>
      </c>
      <c r="U41" s="81" t="str">
        <f>IFERROR(SR_demand_forecast!U204*Historical_Cost!#REF!,"-")</f>
        <v>-</v>
      </c>
      <c r="V41" s="81" t="str">
        <f>IFERROR(SR_demand_forecast!V204*Historical_Cost!#REF!,"-")</f>
        <v>-</v>
      </c>
    </row>
    <row r="42" spans="1:22" x14ac:dyDescent="0.3">
      <c r="A42" s="526"/>
      <c r="B42" s="33" t="s">
        <v>80</v>
      </c>
      <c r="C42" s="81" t="str">
        <f>IFERROR(SR_demand_forecast!C205*Historical_Cost!#REF!,"-")</f>
        <v>-</v>
      </c>
      <c r="D42" s="81" t="str">
        <f>IFERROR(SR_demand_forecast!D205*Historical_Cost!#REF!,"-")</f>
        <v>-</v>
      </c>
      <c r="E42" s="81" t="str">
        <f>IFERROR(SR_demand_forecast!E205*Historical_Cost!#REF!,"-")</f>
        <v>-</v>
      </c>
      <c r="F42" s="81" t="str">
        <f>IFERROR(SR_demand_forecast!F205*Historical_Cost!#REF!,"-")</f>
        <v>-</v>
      </c>
      <c r="G42" s="81" t="str">
        <f>IFERROR(SR_demand_forecast!G205*Historical_Cost!#REF!,"-")</f>
        <v>-</v>
      </c>
      <c r="H42" s="81" t="str">
        <f>IFERROR(SR_demand_forecast!H205*Historical_Cost!#REF!,"-")</f>
        <v>-</v>
      </c>
      <c r="I42" s="81" t="str">
        <f>IFERROR(SR_demand_forecast!I205*Historical_Cost!#REF!,"-")</f>
        <v>-</v>
      </c>
      <c r="J42" s="81" t="str">
        <f>IFERROR(SR_demand_forecast!J205*Historical_Cost!#REF!,"-")</f>
        <v>-</v>
      </c>
      <c r="K42" s="81" t="str">
        <f>IFERROR(SR_demand_forecast!K205*Historical_Cost!#REF!,"-")</f>
        <v>-</v>
      </c>
      <c r="L42" s="81" t="str">
        <f>IFERROR(SR_demand_forecast!L205*Historical_Cost!#REF!,"-")</f>
        <v>-</v>
      </c>
      <c r="M42" s="81" t="str">
        <f>IFERROR(SR_demand_forecast!M205*Historical_Cost!#REF!,"-")</f>
        <v>-</v>
      </c>
      <c r="N42" s="81" t="str">
        <f>IFERROR(SR_demand_forecast!N205*Historical_Cost!#REF!,"-")</f>
        <v>-</v>
      </c>
      <c r="O42" s="81" t="str">
        <f>IFERROR(SR_demand_forecast!O205*Historical_Cost!#REF!,"-")</f>
        <v>-</v>
      </c>
      <c r="P42" s="81" t="str">
        <f>IFERROR(SR_demand_forecast!P205*Historical_Cost!#REF!,"-")</f>
        <v>-</v>
      </c>
      <c r="Q42" s="81" t="str">
        <f>IFERROR(SR_demand_forecast!Q205*Historical_Cost!#REF!,"-")</f>
        <v>-</v>
      </c>
      <c r="R42" s="81" t="str">
        <f>IFERROR(SR_demand_forecast!R205*Historical_Cost!#REF!,"-")</f>
        <v>-</v>
      </c>
      <c r="S42" s="81" t="str">
        <f>IFERROR(SR_demand_forecast!S205*Historical_Cost!#REF!,"-")</f>
        <v>-</v>
      </c>
      <c r="T42" s="81" t="str">
        <f>IFERROR(SR_demand_forecast!T205*Historical_Cost!#REF!,"-")</f>
        <v>-</v>
      </c>
      <c r="U42" s="81" t="str">
        <f>IFERROR(SR_demand_forecast!U205*Historical_Cost!#REF!,"-")</f>
        <v>-</v>
      </c>
      <c r="V42" s="81" t="str">
        <f>IFERROR(SR_demand_forecast!V205*Historical_Cost!#REF!,"-")</f>
        <v>-</v>
      </c>
    </row>
    <row r="43" spans="1:22" x14ac:dyDescent="0.3">
      <c r="A43" s="526"/>
      <c r="B43" s="33" t="s">
        <v>44</v>
      </c>
      <c r="C43" s="81" t="str">
        <f>IFERROR(SR_demand_forecast!C206*Historical_Cost!#REF!,"-")</f>
        <v>-</v>
      </c>
      <c r="D43" s="81" t="str">
        <f>IFERROR(SR_demand_forecast!D206*Historical_Cost!#REF!,"-")</f>
        <v>-</v>
      </c>
      <c r="E43" s="81" t="str">
        <f>IFERROR(SR_demand_forecast!E206*Historical_Cost!#REF!,"-")</f>
        <v>-</v>
      </c>
      <c r="F43" s="81" t="str">
        <f>IFERROR(SR_demand_forecast!F206*Historical_Cost!#REF!,"-")</f>
        <v>-</v>
      </c>
      <c r="G43" s="81" t="str">
        <f>IFERROR(SR_demand_forecast!G206*Historical_Cost!#REF!,"-")</f>
        <v>-</v>
      </c>
      <c r="H43" s="81" t="str">
        <f>IFERROR(SR_demand_forecast!H206*Historical_Cost!#REF!,"-")</f>
        <v>-</v>
      </c>
      <c r="I43" s="81" t="str">
        <f>IFERROR(SR_demand_forecast!I206*Historical_Cost!#REF!,"-")</f>
        <v>-</v>
      </c>
      <c r="J43" s="81" t="str">
        <f>IFERROR(SR_demand_forecast!J206*Historical_Cost!#REF!,"-")</f>
        <v>-</v>
      </c>
      <c r="K43" s="81" t="str">
        <f>IFERROR(SR_demand_forecast!K206*Historical_Cost!#REF!,"-")</f>
        <v>-</v>
      </c>
      <c r="L43" s="81" t="str">
        <f>IFERROR(SR_demand_forecast!L206*Historical_Cost!#REF!,"-")</f>
        <v>-</v>
      </c>
      <c r="M43" s="81" t="str">
        <f>IFERROR(SR_demand_forecast!M206*Historical_Cost!#REF!,"-")</f>
        <v>-</v>
      </c>
      <c r="N43" s="81" t="str">
        <f>IFERROR(SR_demand_forecast!N206*Historical_Cost!#REF!,"-")</f>
        <v>-</v>
      </c>
      <c r="O43" s="81" t="str">
        <f>IFERROR(SR_demand_forecast!O206*Historical_Cost!#REF!,"-")</f>
        <v>-</v>
      </c>
      <c r="P43" s="81" t="str">
        <f>IFERROR(SR_demand_forecast!P206*Historical_Cost!#REF!,"-")</f>
        <v>-</v>
      </c>
      <c r="Q43" s="81" t="str">
        <f>IFERROR(SR_demand_forecast!Q206*Historical_Cost!#REF!,"-")</f>
        <v>-</v>
      </c>
      <c r="R43" s="81" t="str">
        <f>IFERROR(SR_demand_forecast!R206*Historical_Cost!#REF!,"-")</f>
        <v>-</v>
      </c>
      <c r="S43" s="81" t="str">
        <f>IFERROR(SR_demand_forecast!S206*Historical_Cost!#REF!,"-")</f>
        <v>-</v>
      </c>
      <c r="T43" s="81" t="str">
        <f>IFERROR(SR_demand_forecast!T206*Historical_Cost!#REF!,"-")</f>
        <v>-</v>
      </c>
      <c r="U43" s="81" t="str">
        <f>IFERROR(SR_demand_forecast!U206*Historical_Cost!#REF!,"-")</f>
        <v>-</v>
      </c>
      <c r="V43" s="81" t="str">
        <f>IFERROR(SR_demand_forecast!V206*Historical_Cost!#REF!,"-")</f>
        <v>-</v>
      </c>
    </row>
    <row r="44" spans="1:22" x14ac:dyDescent="0.3">
      <c r="A44" s="526"/>
      <c r="B44" s="33" t="s">
        <v>81</v>
      </c>
      <c r="C44" s="81" t="str">
        <f>IFERROR(SR_demand_forecast!C207*Historical_Cost!#REF!,"-")</f>
        <v>-</v>
      </c>
      <c r="D44" s="81" t="str">
        <f>IFERROR(SR_demand_forecast!D207*Historical_Cost!#REF!,"-")</f>
        <v>-</v>
      </c>
      <c r="E44" s="81" t="str">
        <f>IFERROR(SR_demand_forecast!E207*Historical_Cost!#REF!,"-")</f>
        <v>-</v>
      </c>
      <c r="F44" s="81" t="str">
        <f>IFERROR(SR_demand_forecast!F207*Historical_Cost!#REF!,"-")</f>
        <v>-</v>
      </c>
      <c r="G44" s="81" t="str">
        <f>IFERROR(SR_demand_forecast!G207*Historical_Cost!#REF!,"-")</f>
        <v>-</v>
      </c>
      <c r="H44" s="81" t="str">
        <f>IFERROR(SR_demand_forecast!H207*Historical_Cost!#REF!,"-")</f>
        <v>-</v>
      </c>
      <c r="I44" s="81" t="str">
        <f>IFERROR(SR_demand_forecast!I207*Historical_Cost!#REF!,"-")</f>
        <v>-</v>
      </c>
      <c r="J44" s="81" t="str">
        <f>IFERROR(SR_demand_forecast!J207*Historical_Cost!#REF!,"-")</f>
        <v>-</v>
      </c>
      <c r="K44" s="81" t="str">
        <f>IFERROR(SR_demand_forecast!K207*Historical_Cost!#REF!,"-")</f>
        <v>-</v>
      </c>
      <c r="L44" s="81" t="str">
        <f>IFERROR(SR_demand_forecast!L207*Historical_Cost!#REF!,"-")</f>
        <v>-</v>
      </c>
      <c r="M44" s="81" t="str">
        <f>IFERROR(SR_demand_forecast!M207*Historical_Cost!#REF!,"-")</f>
        <v>-</v>
      </c>
      <c r="N44" s="81" t="str">
        <f>IFERROR(SR_demand_forecast!N207*Historical_Cost!#REF!,"-")</f>
        <v>-</v>
      </c>
      <c r="O44" s="81" t="str">
        <f>IFERROR(SR_demand_forecast!O207*Historical_Cost!#REF!,"-")</f>
        <v>-</v>
      </c>
      <c r="P44" s="81" t="str">
        <f>IFERROR(SR_demand_forecast!P207*Historical_Cost!#REF!,"-")</f>
        <v>-</v>
      </c>
      <c r="Q44" s="81" t="str">
        <f>IFERROR(SR_demand_forecast!Q207*Historical_Cost!#REF!,"-")</f>
        <v>-</v>
      </c>
      <c r="R44" s="81" t="str">
        <f>IFERROR(SR_demand_forecast!R207*Historical_Cost!#REF!,"-")</f>
        <v>-</v>
      </c>
      <c r="S44" s="81" t="str">
        <f>IFERROR(SR_demand_forecast!S207*Historical_Cost!#REF!,"-")</f>
        <v>-</v>
      </c>
      <c r="T44" s="81" t="str">
        <f>IFERROR(SR_demand_forecast!T207*Historical_Cost!#REF!,"-")</f>
        <v>-</v>
      </c>
      <c r="U44" s="81" t="str">
        <f>IFERROR(SR_demand_forecast!U207*Historical_Cost!#REF!,"-")</f>
        <v>-</v>
      </c>
      <c r="V44" s="81" t="str">
        <f>IFERROR(SR_demand_forecast!V207*Historical_Cost!#REF!,"-")</f>
        <v>-</v>
      </c>
    </row>
    <row r="45" spans="1:22" x14ac:dyDescent="0.3">
      <c r="A45" s="526"/>
      <c r="B45" s="33" t="s">
        <v>42</v>
      </c>
      <c r="C45" s="81" t="str">
        <f>IFERROR(SR_demand_forecast!C208*Historical_Cost!#REF!,"-")</f>
        <v>-</v>
      </c>
      <c r="D45" s="81" t="str">
        <f>IFERROR(SR_demand_forecast!D208*Historical_Cost!#REF!,"-")</f>
        <v>-</v>
      </c>
      <c r="E45" s="81" t="str">
        <f>IFERROR(SR_demand_forecast!E208*Historical_Cost!#REF!,"-")</f>
        <v>-</v>
      </c>
      <c r="F45" s="81" t="str">
        <f>IFERROR(SR_demand_forecast!F208*Historical_Cost!#REF!,"-")</f>
        <v>-</v>
      </c>
      <c r="G45" s="81" t="str">
        <f>IFERROR(SR_demand_forecast!G208*Historical_Cost!#REF!,"-")</f>
        <v>-</v>
      </c>
      <c r="H45" s="81" t="str">
        <f>IFERROR(SR_demand_forecast!H208*Historical_Cost!#REF!,"-")</f>
        <v>-</v>
      </c>
      <c r="I45" s="81" t="str">
        <f>IFERROR(SR_demand_forecast!I208*Historical_Cost!#REF!,"-")</f>
        <v>-</v>
      </c>
      <c r="J45" s="81" t="str">
        <f>IFERROR(SR_demand_forecast!J208*Historical_Cost!#REF!,"-")</f>
        <v>-</v>
      </c>
      <c r="K45" s="81" t="str">
        <f>IFERROR(SR_demand_forecast!K208*Historical_Cost!#REF!,"-")</f>
        <v>-</v>
      </c>
      <c r="L45" s="81" t="str">
        <f>IFERROR(SR_demand_forecast!L208*Historical_Cost!#REF!,"-")</f>
        <v>-</v>
      </c>
      <c r="M45" s="81" t="str">
        <f>IFERROR(SR_demand_forecast!M208*Historical_Cost!#REF!,"-")</f>
        <v>-</v>
      </c>
      <c r="N45" s="81" t="str">
        <f>IFERROR(SR_demand_forecast!N208*Historical_Cost!#REF!,"-")</f>
        <v>-</v>
      </c>
      <c r="O45" s="81" t="str">
        <f>IFERROR(SR_demand_forecast!O208*Historical_Cost!#REF!,"-")</f>
        <v>-</v>
      </c>
      <c r="P45" s="81" t="str">
        <f>IFERROR(SR_demand_forecast!P208*Historical_Cost!#REF!,"-")</f>
        <v>-</v>
      </c>
      <c r="Q45" s="81" t="str">
        <f>IFERROR(SR_demand_forecast!Q208*Historical_Cost!#REF!,"-")</f>
        <v>-</v>
      </c>
      <c r="R45" s="81" t="str">
        <f>IFERROR(SR_demand_forecast!R208*Historical_Cost!#REF!,"-")</f>
        <v>-</v>
      </c>
      <c r="S45" s="81" t="str">
        <f>IFERROR(SR_demand_forecast!S208*Historical_Cost!#REF!,"-")</f>
        <v>-</v>
      </c>
      <c r="T45" s="81" t="str">
        <f>IFERROR(SR_demand_forecast!T208*Historical_Cost!#REF!,"-")</f>
        <v>-</v>
      </c>
      <c r="U45" s="81" t="str">
        <f>IFERROR(SR_demand_forecast!U208*Historical_Cost!#REF!,"-")</f>
        <v>-</v>
      </c>
      <c r="V45" s="81" t="str">
        <f>IFERROR(SR_demand_forecast!V208*Historical_Cost!#REF!,"-")</f>
        <v>-</v>
      </c>
    </row>
    <row r="46" spans="1:22" x14ac:dyDescent="0.3">
      <c r="A46" s="526"/>
      <c r="B46" s="33" t="s">
        <v>45</v>
      </c>
      <c r="C46" s="81" t="str">
        <f>IFERROR(SR_demand_forecast!C209*Historical_Cost!#REF!,"-")</f>
        <v>-</v>
      </c>
      <c r="D46" s="81" t="str">
        <f>IFERROR(SR_demand_forecast!D209*Historical_Cost!#REF!,"-")</f>
        <v>-</v>
      </c>
      <c r="E46" s="81" t="str">
        <f>IFERROR(SR_demand_forecast!E209*Historical_Cost!#REF!,"-")</f>
        <v>-</v>
      </c>
      <c r="F46" s="81" t="str">
        <f>IFERROR(SR_demand_forecast!F209*Historical_Cost!#REF!,"-")</f>
        <v>-</v>
      </c>
      <c r="G46" s="81" t="str">
        <f>IFERROR(SR_demand_forecast!G209*Historical_Cost!#REF!,"-")</f>
        <v>-</v>
      </c>
      <c r="H46" s="81" t="str">
        <f>IFERROR(SR_demand_forecast!H209*Historical_Cost!#REF!,"-")</f>
        <v>-</v>
      </c>
      <c r="I46" s="81" t="str">
        <f>IFERROR(SR_demand_forecast!I209*Historical_Cost!#REF!,"-")</f>
        <v>-</v>
      </c>
      <c r="J46" s="81" t="str">
        <f>IFERROR(SR_demand_forecast!J209*Historical_Cost!#REF!,"-")</f>
        <v>-</v>
      </c>
      <c r="K46" s="81" t="str">
        <f>IFERROR(SR_demand_forecast!K209*Historical_Cost!#REF!,"-")</f>
        <v>-</v>
      </c>
      <c r="L46" s="81" t="str">
        <f>IFERROR(SR_demand_forecast!L209*Historical_Cost!#REF!,"-")</f>
        <v>-</v>
      </c>
      <c r="M46" s="81" t="str">
        <f>IFERROR(SR_demand_forecast!M209*Historical_Cost!#REF!,"-")</f>
        <v>-</v>
      </c>
      <c r="N46" s="81" t="str">
        <f>IFERROR(SR_demand_forecast!N209*Historical_Cost!#REF!,"-")</f>
        <v>-</v>
      </c>
      <c r="O46" s="81" t="str">
        <f>IFERROR(SR_demand_forecast!O209*Historical_Cost!#REF!,"-")</f>
        <v>-</v>
      </c>
      <c r="P46" s="81" t="str">
        <f>IFERROR(SR_demand_forecast!P209*Historical_Cost!#REF!,"-")</f>
        <v>-</v>
      </c>
      <c r="Q46" s="81" t="str">
        <f>IFERROR(SR_demand_forecast!Q209*Historical_Cost!#REF!,"-")</f>
        <v>-</v>
      </c>
      <c r="R46" s="81" t="str">
        <f>IFERROR(SR_demand_forecast!R209*Historical_Cost!#REF!,"-")</f>
        <v>-</v>
      </c>
      <c r="S46" s="81" t="str">
        <f>IFERROR(SR_demand_forecast!S209*Historical_Cost!#REF!,"-")</f>
        <v>-</v>
      </c>
      <c r="T46" s="81" t="str">
        <f>IFERROR(SR_demand_forecast!T209*Historical_Cost!#REF!,"-")</f>
        <v>-</v>
      </c>
      <c r="U46" s="81" t="str">
        <f>IFERROR(SR_demand_forecast!U209*Historical_Cost!#REF!,"-")</f>
        <v>-</v>
      </c>
      <c r="V46" s="81" t="str">
        <f>IFERROR(SR_demand_forecast!V209*Historical_Cost!#REF!,"-")</f>
        <v>-</v>
      </c>
    </row>
    <row r="47" spans="1:22" x14ac:dyDescent="0.3">
      <c r="A47" s="526"/>
      <c r="B47" s="33" t="s">
        <v>84</v>
      </c>
      <c r="C47" s="128">
        <f t="shared" ref="C47:V47" si="2">SUM(C39:C46)</f>
        <v>0</v>
      </c>
      <c r="D47" s="128">
        <f t="shared" si="2"/>
        <v>0</v>
      </c>
      <c r="E47" s="128">
        <f t="shared" si="2"/>
        <v>0</v>
      </c>
      <c r="F47" s="128">
        <f t="shared" si="2"/>
        <v>0</v>
      </c>
      <c r="G47" s="128">
        <f t="shared" si="2"/>
        <v>0</v>
      </c>
      <c r="H47" s="128">
        <f t="shared" si="2"/>
        <v>0</v>
      </c>
      <c r="I47" s="128">
        <f t="shared" si="2"/>
        <v>0</v>
      </c>
      <c r="J47" s="128">
        <f t="shared" si="2"/>
        <v>0</v>
      </c>
      <c r="K47" s="128">
        <f t="shared" si="2"/>
        <v>0</v>
      </c>
      <c r="L47" s="128">
        <f t="shared" si="2"/>
        <v>0</v>
      </c>
      <c r="M47" s="128">
        <f t="shared" si="2"/>
        <v>0</v>
      </c>
      <c r="N47" s="128">
        <f t="shared" si="2"/>
        <v>0</v>
      </c>
      <c r="O47" s="128">
        <f t="shared" si="2"/>
        <v>0</v>
      </c>
      <c r="P47" s="128">
        <f t="shared" si="2"/>
        <v>0</v>
      </c>
      <c r="Q47" s="128">
        <f t="shared" si="2"/>
        <v>0</v>
      </c>
      <c r="R47" s="128">
        <f t="shared" si="2"/>
        <v>0</v>
      </c>
      <c r="S47" s="128">
        <f t="shared" si="2"/>
        <v>0</v>
      </c>
      <c r="T47" s="128">
        <f t="shared" si="2"/>
        <v>0</v>
      </c>
      <c r="U47" s="128">
        <f t="shared" si="2"/>
        <v>0</v>
      </c>
      <c r="V47" s="128">
        <f t="shared" si="2"/>
        <v>0</v>
      </c>
    </row>
    <row r="48" spans="1:22" x14ac:dyDescent="0.3">
      <c r="A48" s="526"/>
    </row>
    <row r="49" spans="1:22" x14ac:dyDescent="0.3">
      <c r="A49" s="526"/>
    </row>
    <row r="50" spans="1:22" x14ac:dyDescent="0.3">
      <c r="A50" s="526"/>
    </row>
    <row r="51" spans="1:22" x14ac:dyDescent="0.3">
      <c r="A51" s="526"/>
    </row>
    <row r="52" spans="1:22" x14ac:dyDescent="0.3">
      <c r="A52" s="526"/>
    </row>
    <row r="53" spans="1:22" x14ac:dyDescent="0.3">
      <c r="A53" s="526"/>
    </row>
    <row r="54" spans="1:22" x14ac:dyDescent="0.3">
      <c r="A54" s="526"/>
    </row>
    <row r="55" spans="1:22" x14ac:dyDescent="0.3">
      <c r="A55" s="526"/>
    </row>
    <row r="56" spans="1:22" x14ac:dyDescent="0.3">
      <c r="A56" s="526"/>
    </row>
    <row r="57" spans="1:22" x14ac:dyDescent="0.3">
      <c r="A57" s="525">
        <v>0.4</v>
      </c>
      <c r="B57" s="35" t="s">
        <v>162</v>
      </c>
      <c r="L57" s="20"/>
      <c r="M57" s="20"/>
    </row>
    <row r="58" spans="1:22" x14ac:dyDescent="0.3">
      <c r="A58" s="526"/>
      <c r="B58" s="78" t="s">
        <v>82</v>
      </c>
      <c r="C58" s="78">
        <v>2021</v>
      </c>
      <c r="D58" s="79">
        <v>2022</v>
      </c>
      <c r="E58" s="78">
        <v>2023</v>
      </c>
      <c r="F58" s="79">
        <v>2024</v>
      </c>
      <c r="G58" s="78">
        <v>2025</v>
      </c>
      <c r="H58" s="79">
        <v>2026</v>
      </c>
      <c r="I58" s="78">
        <v>2027</v>
      </c>
      <c r="J58" s="79">
        <v>2028</v>
      </c>
      <c r="K58" s="78">
        <v>2029</v>
      </c>
      <c r="L58" s="79">
        <v>2030</v>
      </c>
      <c r="M58" s="78">
        <v>2031</v>
      </c>
      <c r="N58" s="79">
        <v>2032</v>
      </c>
      <c r="O58" s="78">
        <v>2033</v>
      </c>
      <c r="P58" s="79">
        <v>2034</v>
      </c>
      <c r="Q58" s="78">
        <v>2035</v>
      </c>
      <c r="R58" s="79">
        <v>2036</v>
      </c>
      <c r="S58" s="78">
        <v>2037</v>
      </c>
      <c r="T58" s="79">
        <v>2038</v>
      </c>
      <c r="U58" s="78">
        <v>2039</v>
      </c>
      <c r="V58" s="79">
        <v>2040</v>
      </c>
    </row>
    <row r="59" spans="1:22" x14ac:dyDescent="0.3">
      <c r="A59" s="526"/>
      <c r="B59" s="33" t="s">
        <v>43</v>
      </c>
      <c r="C59" s="81" t="str">
        <f>IFERROR(SR_demand_forecast!C56*Historical_Cost!#REF!,"-")</f>
        <v>-</v>
      </c>
      <c r="D59" s="81" t="str">
        <f>IFERROR(SR_demand_forecast!D56*Historical_Cost!#REF!,"-")</f>
        <v>-</v>
      </c>
      <c r="E59" s="81" t="str">
        <f>IFERROR(SR_demand_forecast!E56*Historical_Cost!#REF!,"-")</f>
        <v>-</v>
      </c>
      <c r="F59" s="81" t="str">
        <f>IFERROR(SR_demand_forecast!F56*Historical_Cost!#REF!,"-")</f>
        <v>-</v>
      </c>
      <c r="G59" s="81" t="str">
        <f>IFERROR(SR_demand_forecast!G56*Historical_Cost!#REF!,"-")</f>
        <v>-</v>
      </c>
      <c r="H59" s="81" t="str">
        <f>IFERROR(SR_demand_forecast!H56*Historical_Cost!#REF!,"-")</f>
        <v>-</v>
      </c>
      <c r="I59" s="81" t="str">
        <f>IFERROR(SR_demand_forecast!I56*Historical_Cost!#REF!,"-")</f>
        <v>-</v>
      </c>
      <c r="J59" s="81" t="str">
        <f>IFERROR(SR_demand_forecast!J56*Historical_Cost!#REF!,"-")</f>
        <v>-</v>
      </c>
      <c r="K59" s="81" t="str">
        <f>IFERROR(SR_demand_forecast!K56*Historical_Cost!#REF!,"-")</f>
        <v>-</v>
      </c>
      <c r="L59" s="81" t="str">
        <f>IFERROR(SR_demand_forecast!L56*Historical_Cost!#REF!,"-")</f>
        <v>-</v>
      </c>
      <c r="M59" s="81" t="str">
        <f>IFERROR(SR_demand_forecast!M56*Historical_Cost!#REF!,"-")</f>
        <v>-</v>
      </c>
      <c r="N59" s="81" t="str">
        <f>IFERROR(SR_demand_forecast!N56*Historical_Cost!#REF!,"-")</f>
        <v>-</v>
      </c>
      <c r="O59" s="81" t="str">
        <f>IFERROR(SR_demand_forecast!O56*Historical_Cost!#REF!,"-")</f>
        <v>-</v>
      </c>
      <c r="P59" s="81" t="str">
        <f>IFERROR(SR_demand_forecast!P56*Historical_Cost!#REF!,"-")</f>
        <v>-</v>
      </c>
      <c r="Q59" s="81" t="str">
        <f>IFERROR(SR_demand_forecast!Q56*Historical_Cost!#REF!,"-")</f>
        <v>-</v>
      </c>
      <c r="R59" s="81" t="str">
        <f>IFERROR(SR_demand_forecast!R56*Historical_Cost!#REF!,"-")</f>
        <v>-</v>
      </c>
      <c r="S59" s="81" t="str">
        <f>IFERROR(SR_demand_forecast!S56*Historical_Cost!#REF!,"-")</f>
        <v>-</v>
      </c>
      <c r="T59" s="81" t="str">
        <f>IFERROR(SR_demand_forecast!T56*Historical_Cost!#REF!,"-")</f>
        <v>-</v>
      </c>
      <c r="U59" s="81" t="str">
        <f>IFERROR(SR_demand_forecast!U56*Historical_Cost!#REF!,"-")</f>
        <v>-</v>
      </c>
      <c r="V59" s="81" t="str">
        <f>IFERROR(SR_demand_forecast!V56*Historical_Cost!#REF!,"-")</f>
        <v>-</v>
      </c>
    </row>
    <row r="60" spans="1:22" x14ac:dyDescent="0.3">
      <c r="A60" s="526"/>
      <c r="B60" s="33" t="s">
        <v>41</v>
      </c>
      <c r="C60" s="81" t="str">
        <f>IFERROR(SR_demand_forecast!C57*Historical_Cost!#REF!,"-")</f>
        <v>-</v>
      </c>
      <c r="D60" s="81" t="str">
        <f>IFERROR(SR_demand_forecast!D57*Historical_Cost!#REF!,"-")</f>
        <v>-</v>
      </c>
      <c r="E60" s="81" t="str">
        <f>IFERROR(SR_demand_forecast!E57*Historical_Cost!#REF!,"-")</f>
        <v>-</v>
      </c>
      <c r="F60" s="81" t="str">
        <f>IFERROR(SR_demand_forecast!F57*Historical_Cost!#REF!,"-")</f>
        <v>-</v>
      </c>
      <c r="G60" s="81" t="str">
        <f>IFERROR(SR_demand_forecast!G57*Historical_Cost!#REF!,"-")</f>
        <v>-</v>
      </c>
      <c r="H60" s="81" t="str">
        <f>IFERROR(SR_demand_forecast!H57*Historical_Cost!#REF!,"-")</f>
        <v>-</v>
      </c>
      <c r="I60" s="81" t="str">
        <f>IFERROR(SR_demand_forecast!I57*Historical_Cost!#REF!,"-")</f>
        <v>-</v>
      </c>
      <c r="J60" s="81" t="str">
        <f>IFERROR(SR_demand_forecast!J57*Historical_Cost!#REF!,"-")</f>
        <v>-</v>
      </c>
      <c r="K60" s="81" t="str">
        <f>IFERROR(SR_demand_forecast!K57*Historical_Cost!#REF!,"-")</f>
        <v>-</v>
      </c>
      <c r="L60" s="81" t="str">
        <f>IFERROR(SR_demand_forecast!L57*Historical_Cost!#REF!,"-")</f>
        <v>-</v>
      </c>
      <c r="M60" s="81" t="str">
        <f>IFERROR(SR_demand_forecast!M57*Historical_Cost!#REF!,"-")</f>
        <v>-</v>
      </c>
      <c r="N60" s="81" t="str">
        <f>IFERROR(SR_demand_forecast!N57*Historical_Cost!#REF!,"-")</f>
        <v>-</v>
      </c>
      <c r="O60" s="81" t="str">
        <f>IFERROR(SR_demand_forecast!O57*Historical_Cost!#REF!,"-")</f>
        <v>-</v>
      </c>
      <c r="P60" s="81" t="str">
        <f>IFERROR(SR_demand_forecast!P57*Historical_Cost!#REF!,"-")</f>
        <v>-</v>
      </c>
      <c r="Q60" s="81" t="str">
        <f>IFERROR(SR_demand_forecast!Q57*Historical_Cost!#REF!,"-")</f>
        <v>-</v>
      </c>
      <c r="R60" s="81" t="str">
        <f>IFERROR(SR_demand_forecast!R57*Historical_Cost!#REF!,"-")</f>
        <v>-</v>
      </c>
      <c r="S60" s="81" t="str">
        <f>IFERROR(SR_demand_forecast!S57*Historical_Cost!#REF!,"-")</f>
        <v>-</v>
      </c>
      <c r="T60" s="81" t="str">
        <f>IFERROR(SR_demand_forecast!T57*Historical_Cost!#REF!,"-")</f>
        <v>-</v>
      </c>
      <c r="U60" s="81" t="str">
        <f>IFERROR(SR_demand_forecast!U57*Historical_Cost!#REF!,"-")</f>
        <v>-</v>
      </c>
      <c r="V60" s="81" t="str">
        <f>IFERROR(SR_demand_forecast!V57*Historical_Cost!#REF!,"-")</f>
        <v>-</v>
      </c>
    </row>
    <row r="61" spans="1:22" x14ac:dyDescent="0.3">
      <c r="A61" s="526"/>
      <c r="B61" s="33" t="s">
        <v>40</v>
      </c>
      <c r="C61" s="81" t="str">
        <f>IFERROR(SR_demand_forecast!C58*Historical_Cost!#REF!,"-")</f>
        <v>-</v>
      </c>
      <c r="D61" s="81" t="str">
        <f>IFERROR(SR_demand_forecast!D58*Historical_Cost!#REF!,"-")</f>
        <v>-</v>
      </c>
      <c r="E61" s="81" t="str">
        <f>IFERROR(SR_demand_forecast!E58*Historical_Cost!#REF!,"-")</f>
        <v>-</v>
      </c>
      <c r="F61" s="81" t="str">
        <f>IFERROR(SR_demand_forecast!F58*Historical_Cost!#REF!,"-")</f>
        <v>-</v>
      </c>
      <c r="G61" s="81" t="str">
        <f>IFERROR(SR_demand_forecast!G58*Historical_Cost!#REF!,"-")</f>
        <v>-</v>
      </c>
      <c r="H61" s="81" t="str">
        <f>IFERROR(SR_demand_forecast!H58*Historical_Cost!#REF!,"-")</f>
        <v>-</v>
      </c>
      <c r="I61" s="81" t="str">
        <f>IFERROR(SR_demand_forecast!I58*Historical_Cost!#REF!,"-")</f>
        <v>-</v>
      </c>
      <c r="J61" s="81" t="str">
        <f>IFERROR(SR_demand_forecast!J58*Historical_Cost!#REF!,"-")</f>
        <v>-</v>
      </c>
      <c r="K61" s="81" t="str">
        <f>IFERROR(SR_demand_forecast!K58*Historical_Cost!#REF!,"-")</f>
        <v>-</v>
      </c>
      <c r="L61" s="81" t="str">
        <f>IFERROR(SR_demand_forecast!L58*Historical_Cost!#REF!,"-")</f>
        <v>-</v>
      </c>
      <c r="M61" s="81" t="str">
        <f>IFERROR(SR_demand_forecast!M58*Historical_Cost!#REF!,"-")</f>
        <v>-</v>
      </c>
      <c r="N61" s="81" t="str">
        <f>IFERROR(SR_demand_forecast!N58*Historical_Cost!#REF!,"-")</f>
        <v>-</v>
      </c>
      <c r="O61" s="81" t="str">
        <f>IFERROR(SR_demand_forecast!O58*Historical_Cost!#REF!,"-")</f>
        <v>-</v>
      </c>
      <c r="P61" s="81" t="str">
        <f>IFERROR(SR_demand_forecast!P58*Historical_Cost!#REF!,"-")</f>
        <v>-</v>
      </c>
      <c r="Q61" s="81" t="str">
        <f>IFERROR(SR_demand_forecast!Q58*Historical_Cost!#REF!,"-")</f>
        <v>-</v>
      </c>
      <c r="R61" s="81" t="str">
        <f>IFERROR(SR_demand_forecast!R58*Historical_Cost!#REF!,"-")</f>
        <v>-</v>
      </c>
      <c r="S61" s="81" t="str">
        <f>IFERROR(SR_demand_forecast!S58*Historical_Cost!#REF!,"-")</f>
        <v>-</v>
      </c>
      <c r="T61" s="81" t="str">
        <f>IFERROR(SR_demand_forecast!T58*Historical_Cost!#REF!,"-")</f>
        <v>-</v>
      </c>
      <c r="U61" s="81" t="str">
        <f>IFERROR(SR_demand_forecast!U58*Historical_Cost!#REF!,"-")</f>
        <v>-</v>
      </c>
      <c r="V61" s="81" t="str">
        <f>IFERROR(SR_demand_forecast!V58*Historical_Cost!#REF!,"-")</f>
        <v>-</v>
      </c>
    </row>
    <row r="62" spans="1:22" x14ac:dyDescent="0.3">
      <c r="A62" s="526"/>
      <c r="B62" s="33" t="s">
        <v>80</v>
      </c>
      <c r="C62" s="81" t="str">
        <f>IFERROR(SR_demand_forecast!C59*Historical_Cost!#REF!,"-")</f>
        <v>-</v>
      </c>
      <c r="D62" s="81" t="str">
        <f>IFERROR(SR_demand_forecast!D59*Historical_Cost!#REF!,"-")</f>
        <v>-</v>
      </c>
      <c r="E62" s="81" t="str">
        <f>IFERROR(SR_demand_forecast!E59*Historical_Cost!#REF!,"-")</f>
        <v>-</v>
      </c>
      <c r="F62" s="81" t="str">
        <f>IFERROR(SR_demand_forecast!F59*Historical_Cost!#REF!,"-")</f>
        <v>-</v>
      </c>
      <c r="G62" s="81" t="str">
        <f>IFERROR(SR_demand_forecast!G59*Historical_Cost!#REF!,"-")</f>
        <v>-</v>
      </c>
      <c r="H62" s="81" t="str">
        <f>IFERROR(SR_demand_forecast!H59*Historical_Cost!#REF!,"-")</f>
        <v>-</v>
      </c>
      <c r="I62" s="81" t="str">
        <f>IFERROR(SR_demand_forecast!I59*Historical_Cost!#REF!,"-")</f>
        <v>-</v>
      </c>
      <c r="J62" s="81" t="str">
        <f>IFERROR(SR_demand_forecast!J59*Historical_Cost!#REF!,"-")</f>
        <v>-</v>
      </c>
      <c r="K62" s="81" t="str">
        <f>IFERROR(SR_demand_forecast!K59*Historical_Cost!#REF!,"-")</f>
        <v>-</v>
      </c>
      <c r="L62" s="81" t="str">
        <f>IFERROR(SR_demand_forecast!L59*Historical_Cost!#REF!,"-")</f>
        <v>-</v>
      </c>
      <c r="M62" s="81" t="str">
        <f>IFERROR(SR_demand_forecast!M59*Historical_Cost!#REF!,"-")</f>
        <v>-</v>
      </c>
      <c r="N62" s="81" t="str">
        <f>IFERROR(SR_demand_forecast!N59*Historical_Cost!#REF!,"-")</f>
        <v>-</v>
      </c>
      <c r="O62" s="81" t="str">
        <f>IFERROR(SR_demand_forecast!O59*Historical_Cost!#REF!,"-")</f>
        <v>-</v>
      </c>
      <c r="P62" s="81" t="str">
        <f>IFERROR(SR_demand_forecast!P59*Historical_Cost!#REF!,"-")</f>
        <v>-</v>
      </c>
      <c r="Q62" s="81" t="str">
        <f>IFERROR(SR_demand_forecast!Q59*Historical_Cost!#REF!,"-")</f>
        <v>-</v>
      </c>
      <c r="R62" s="81" t="str">
        <f>IFERROR(SR_demand_forecast!R59*Historical_Cost!#REF!,"-")</f>
        <v>-</v>
      </c>
      <c r="S62" s="81" t="str">
        <f>IFERROR(SR_demand_forecast!S59*Historical_Cost!#REF!,"-")</f>
        <v>-</v>
      </c>
      <c r="T62" s="81" t="str">
        <f>IFERROR(SR_demand_forecast!T59*Historical_Cost!#REF!,"-")</f>
        <v>-</v>
      </c>
      <c r="U62" s="81" t="str">
        <f>IFERROR(SR_demand_forecast!U59*Historical_Cost!#REF!,"-")</f>
        <v>-</v>
      </c>
      <c r="V62" s="81" t="str">
        <f>IFERROR(SR_demand_forecast!V59*Historical_Cost!#REF!,"-")</f>
        <v>-</v>
      </c>
    </row>
    <row r="63" spans="1:22" x14ac:dyDescent="0.3">
      <c r="A63" s="526"/>
      <c r="B63" s="33" t="s">
        <v>44</v>
      </c>
      <c r="C63" s="81" t="str">
        <f>IFERROR(SR_demand_forecast!C60*Historical_Cost!#REF!,"-")</f>
        <v>-</v>
      </c>
      <c r="D63" s="81" t="str">
        <f>IFERROR(SR_demand_forecast!D60*Historical_Cost!#REF!,"-")</f>
        <v>-</v>
      </c>
      <c r="E63" s="81" t="str">
        <f>IFERROR(SR_demand_forecast!E60*Historical_Cost!#REF!,"-")</f>
        <v>-</v>
      </c>
      <c r="F63" s="81" t="str">
        <f>IFERROR(SR_demand_forecast!F60*Historical_Cost!#REF!,"-")</f>
        <v>-</v>
      </c>
      <c r="G63" s="81" t="str">
        <f>IFERROR(SR_demand_forecast!G60*Historical_Cost!#REF!,"-")</f>
        <v>-</v>
      </c>
      <c r="H63" s="81" t="str">
        <f>IFERROR(SR_demand_forecast!H60*Historical_Cost!#REF!,"-")</f>
        <v>-</v>
      </c>
      <c r="I63" s="81" t="str">
        <f>IFERROR(SR_demand_forecast!I60*Historical_Cost!#REF!,"-")</f>
        <v>-</v>
      </c>
      <c r="J63" s="81" t="str">
        <f>IFERROR(SR_demand_forecast!J60*Historical_Cost!#REF!,"-")</f>
        <v>-</v>
      </c>
      <c r="K63" s="81" t="str">
        <f>IFERROR(SR_demand_forecast!K60*Historical_Cost!#REF!,"-")</f>
        <v>-</v>
      </c>
      <c r="L63" s="81" t="str">
        <f>IFERROR(SR_demand_forecast!L60*Historical_Cost!#REF!,"-")</f>
        <v>-</v>
      </c>
      <c r="M63" s="81" t="str">
        <f>IFERROR(SR_demand_forecast!M60*Historical_Cost!#REF!,"-")</f>
        <v>-</v>
      </c>
      <c r="N63" s="81" t="str">
        <f>IFERROR(SR_demand_forecast!N60*Historical_Cost!#REF!,"-")</f>
        <v>-</v>
      </c>
      <c r="O63" s="81" t="str">
        <f>IFERROR(SR_demand_forecast!O60*Historical_Cost!#REF!,"-")</f>
        <v>-</v>
      </c>
      <c r="P63" s="81" t="str">
        <f>IFERROR(SR_demand_forecast!P60*Historical_Cost!#REF!,"-")</f>
        <v>-</v>
      </c>
      <c r="Q63" s="81" t="str">
        <f>IFERROR(SR_demand_forecast!Q60*Historical_Cost!#REF!,"-")</f>
        <v>-</v>
      </c>
      <c r="R63" s="81" t="str">
        <f>IFERROR(SR_demand_forecast!R60*Historical_Cost!#REF!,"-")</f>
        <v>-</v>
      </c>
      <c r="S63" s="81" t="str">
        <f>IFERROR(SR_demand_forecast!S60*Historical_Cost!#REF!,"-")</f>
        <v>-</v>
      </c>
      <c r="T63" s="81" t="str">
        <f>IFERROR(SR_demand_forecast!T60*Historical_Cost!#REF!,"-")</f>
        <v>-</v>
      </c>
      <c r="U63" s="81" t="str">
        <f>IFERROR(SR_demand_forecast!U60*Historical_Cost!#REF!,"-")</f>
        <v>-</v>
      </c>
      <c r="V63" s="81" t="str">
        <f>IFERROR(SR_demand_forecast!V60*Historical_Cost!#REF!,"-")</f>
        <v>-</v>
      </c>
    </row>
    <row r="64" spans="1:22" x14ac:dyDescent="0.3">
      <c r="A64" s="526"/>
      <c r="B64" s="33" t="s">
        <v>81</v>
      </c>
      <c r="C64" s="81" t="str">
        <f>IFERROR(SR_demand_forecast!C61*Historical_Cost!#REF!,"-")</f>
        <v>-</v>
      </c>
      <c r="D64" s="81" t="str">
        <f>IFERROR(SR_demand_forecast!D61*Historical_Cost!#REF!,"-")</f>
        <v>-</v>
      </c>
      <c r="E64" s="81" t="str">
        <f>IFERROR(SR_demand_forecast!E61*Historical_Cost!#REF!,"-")</f>
        <v>-</v>
      </c>
      <c r="F64" s="81" t="str">
        <f>IFERROR(SR_demand_forecast!F61*Historical_Cost!#REF!,"-")</f>
        <v>-</v>
      </c>
      <c r="G64" s="81" t="str">
        <f>IFERROR(SR_demand_forecast!G61*Historical_Cost!#REF!,"-")</f>
        <v>-</v>
      </c>
      <c r="H64" s="81" t="str">
        <f>IFERROR(SR_demand_forecast!H61*Historical_Cost!#REF!,"-")</f>
        <v>-</v>
      </c>
      <c r="I64" s="81" t="str">
        <f>IFERROR(SR_demand_forecast!I61*Historical_Cost!#REF!,"-")</f>
        <v>-</v>
      </c>
      <c r="J64" s="81" t="str">
        <f>IFERROR(SR_demand_forecast!J61*Historical_Cost!#REF!,"-")</f>
        <v>-</v>
      </c>
      <c r="K64" s="81" t="str">
        <f>IFERROR(SR_demand_forecast!K61*Historical_Cost!#REF!,"-")</f>
        <v>-</v>
      </c>
      <c r="L64" s="81" t="str">
        <f>IFERROR(SR_demand_forecast!L61*Historical_Cost!#REF!,"-")</f>
        <v>-</v>
      </c>
      <c r="M64" s="81" t="str">
        <f>IFERROR(SR_demand_forecast!M61*Historical_Cost!#REF!,"-")</f>
        <v>-</v>
      </c>
      <c r="N64" s="81" t="str">
        <f>IFERROR(SR_demand_forecast!N61*Historical_Cost!#REF!,"-")</f>
        <v>-</v>
      </c>
      <c r="O64" s="81" t="str">
        <f>IFERROR(SR_demand_forecast!O61*Historical_Cost!#REF!,"-")</f>
        <v>-</v>
      </c>
      <c r="P64" s="81" t="str">
        <f>IFERROR(SR_demand_forecast!P61*Historical_Cost!#REF!,"-")</f>
        <v>-</v>
      </c>
      <c r="Q64" s="81" t="str">
        <f>IFERROR(SR_demand_forecast!Q61*Historical_Cost!#REF!,"-")</f>
        <v>-</v>
      </c>
      <c r="R64" s="81" t="str">
        <f>IFERROR(SR_demand_forecast!R61*Historical_Cost!#REF!,"-")</f>
        <v>-</v>
      </c>
      <c r="S64" s="81" t="str">
        <f>IFERROR(SR_demand_forecast!S61*Historical_Cost!#REF!,"-")</f>
        <v>-</v>
      </c>
      <c r="T64" s="81" t="str">
        <f>IFERROR(SR_demand_forecast!T61*Historical_Cost!#REF!,"-")</f>
        <v>-</v>
      </c>
      <c r="U64" s="81" t="str">
        <f>IFERROR(SR_demand_forecast!U61*Historical_Cost!#REF!,"-")</f>
        <v>-</v>
      </c>
      <c r="V64" s="81" t="str">
        <f>IFERROR(SR_demand_forecast!V61*Historical_Cost!#REF!,"-")</f>
        <v>-</v>
      </c>
    </row>
    <row r="65" spans="1:22" x14ac:dyDescent="0.3">
      <c r="A65" s="526"/>
      <c r="B65" s="33" t="s">
        <v>42</v>
      </c>
      <c r="C65" s="81" t="str">
        <f>IFERROR(SR_demand_forecast!C62*Historical_Cost!#REF!,"-")</f>
        <v>-</v>
      </c>
      <c r="D65" s="81" t="str">
        <f>IFERROR(SR_demand_forecast!D62*Historical_Cost!#REF!,"-")</f>
        <v>-</v>
      </c>
      <c r="E65" s="81" t="str">
        <f>IFERROR(SR_demand_forecast!E62*Historical_Cost!#REF!,"-")</f>
        <v>-</v>
      </c>
      <c r="F65" s="81" t="str">
        <f>IFERROR(SR_demand_forecast!F62*Historical_Cost!#REF!,"-")</f>
        <v>-</v>
      </c>
      <c r="G65" s="81" t="str">
        <f>IFERROR(SR_demand_forecast!G62*Historical_Cost!#REF!,"-")</f>
        <v>-</v>
      </c>
      <c r="H65" s="81" t="str">
        <f>IFERROR(SR_demand_forecast!H62*Historical_Cost!#REF!,"-")</f>
        <v>-</v>
      </c>
      <c r="I65" s="81" t="str">
        <f>IFERROR(SR_demand_forecast!I62*Historical_Cost!#REF!,"-")</f>
        <v>-</v>
      </c>
      <c r="J65" s="81" t="str">
        <f>IFERROR(SR_demand_forecast!J62*Historical_Cost!#REF!,"-")</f>
        <v>-</v>
      </c>
      <c r="K65" s="81" t="str">
        <f>IFERROR(SR_demand_forecast!K62*Historical_Cost!#REF!,"-")</f>
        <v>-</v>
      </c>
      <c r="L65" s="81" t="str">
        <f>IFERROR(SR_demand_forecast!L62*Historical_Cost!#REF!,"-")</f>
        <v>-</v>
      </c>
      <c r="M65" s="81" t="str">
        <f>IFERROR(SR_demand_forecast!M62*Historical_Cost!#REF!,"-")</f>
        <v>-</v>
      </c>
      <c r="N65" s="81" t="str">
        <f>IFERROR(SR_demand_forecast!N62*Historical_Cost!#REF!,"-")</f>
        <v>-</v>
      </c>
      <c r="O65" s="81" t="str">
        <f>IFERROR(SR_demand_forecast!O62*Historical_Cost!#REF!,"-")</f>
        <v>-</v>
      </c>
      <c r="P65" s="81" t="str">
        <f>IFERROR(SR_demand_forecast!P62*Historical_Cost!#REF!,"-")</f>
        <v>-</v>
      </c>
      <c r="Q65" s="81" t="str">
        <f>IFERROR(SR_demand_forecast!Q62*Historical_Cost!#REF!,"-")</f>
        <v>-</v>
      </c>
      <c r="R65" s="81" t="str">
        <f>IFERROR(SR_demand_forecast!R62*Historical_Cost!#REF!,"-")</f>
        <v>-</v>
      </c>
      <c r="S65" s="81" t="str">
        <f>IFERROR(SR_demand_forecast!S62*Historical_Cost!#REF!,"-")</f>
        <v>-</v>
      </c>
      <c r="T65" s="81" t="str">
        <f>IFERROR(SR_demand_forecast!T62*Historical_Cost!#REF!,"-")</f>
        <v>-</v>
      </c>
      <c r="U65" s="81" t="str">
        <f>IFERROR(SR_demand_forecast!U62*Historical_Cost!#REF!,"-")</f>
        <v>-</v>
      </c>
      <c r="V65" s="81" t="str">
        <f>IFERROR(SR_demand_forecast!V62*Historical_Cost!#REF!,"-")</f>
        <v>-</v>
      </c>
    </row>
    <row r="66" spans="1:22" x14ac:dyDescent="0.3">
      <c r="A66" s="526"/>
      <c r="B66" s="33" t="s">
        <v>45</v>
      </c>
      <c r="C66" s="81" t="str">
        <f>IFERROR(SR_demand_forecast!C63*Historical_Cost!#REF!,"-")</f>
        <v>-</v>
      </c>
      <c r="D66" s="81" t="str">
        <f>IFERROR(SR_demand_forecast!D63*Historical_Cost!#REF!,"-")</f>
        <v>-</v>
      </c>
      <c r="E66" s="81" t="str">
        <f>IFERROR(SR_demand_forecast!E63*Historical_Cost!#REF!,"-")</f>
        <v>-</v>
      </c>
      <c r="F66" s="81" t="str">
        <f>IFERROR(SR_demand_forecast!F63*Historical_Cost!#REF!,"-")</f>
        <v>-</v>
      </c>
      <c r="G66" s="81" t="str">
        <f>IFERROR(SR_demand_forecast!G63*Historical_Cost!#REF!,"-")</f>
        <v>-</v>
      </c>
      <c r="H66" s="81" t="str">
        <f>IFERROR(SR_demand_forecast!H63*Historical_Cost!#REF!,"-")</f>
        <v>-</v>
      </c>
      <c r="I66" s="81" t="str">
        <f>IFERROR(SR_demand_forecast!I63*Historical_Cost!#REF!,"-")</f>
        <v>-</v>
      </c>
      <c r="J66" s="81" t="str">
        <f>IFERROR(SR_demand_forecast!J63*Historical_Cost!#REF!,"-")</f>
        <v>-</v>
      </c>
      <c r="K66" s="81" t="str">
        <f>IFERROR(SR_demand_forecast!K63*Historical_Cost!#REF!,"-")</f>
        <v>-</v>
      </c>
      <c r="L66" s="81" t="str">
        <f>IFERROR(SR_demand_forecast!L63*Historical_Cost!#REF!,"-")</f>
        <v>-</v>
      </c>
      <c r="M66" s="81" t="str">
        <f>IFERROR(SR_demand_forecast!M63*Historical_Cost!#REF!,"-")</f>
        <v>-</v>
      </c>
      <c r="N66" s="81" t="str">
        <f>IFERROR(SR_demand_forecast!N63*Historical_Cost!#REF!,"-")</f>
        <v>-</v>
      </c>
      <c r="O66" s="81" t="str">
        <f>IFERROR(SR_demand_forecast!O63*Historical_Cost!#REF!,"-")</f>
        <v>-</v>
      </c>
      <c r="P66" s="81" t="str">
        <f>IFERROR(SR_demand_forecast!P63*Historical_Cost!#REF!,"-")</f>
        <v>-</v>
      </c>
      <c r="Q66" s="81" t="str">
        <f>IFERROR(SR_demand_forecast!Q63*Historical_Cost!#REF!,"-")</f>
        <v>-</v>
      </c>
      <c r="R66" s="81" t="str">
        <f>IFERROR(SR_demand_forecast!R63*Historical_Cost!#REF!,"-")</f>
        <v>-</v>
      </c>
      <c r="S66" s="81" t="str">
        <f>IFERROR(SR_demand_forecast!S63*Historical_Cost!#REF!,"-")</f>
        <v>-</v>
      </c>
      <c r="T66" s="81" t="str">
        <f>IFERROR(SR_demand_forecast!T63*Historical_Cost!#REF!,"-")</f>
        <v>-</v>
      </c>
      <c r="U66" s="81" t="str">
        <f>IFERROR(SR_demand_forecast!U63*Historical_Cost!#REF!,"-")</f>
        <v>-</v>
      </c>
      <c r="V66" s="81" t="str">
        <f>IFERROR(SR_demand_forecast!V63*Historical_Cost!#REF!,"-")</f>
        <v>-</v>
      </c>
    </row>
    <row r="67" spans="1:22" x14ac:dyDescent="0.3">
      <c r="A67" s="526"/>
      <c r="B67" s="34" t="s">
        <v>84</v>
      </c>
      <c r="C67" s="128">
        <f t="shared" ref="C67:V67" si="3">SUM(C59:C66)</f>
        <v>0</v>
      </c>
      <c r="D67" s="128">
        <f t="shared" si="3"/>
        <v>0</v>
      </c>
      <c r="E67" s="128">
        <f t="shared" si="3"/>
        <v>0</v>
      </c>
      <c r="F67" s="128">
        <f t="shared" si="3"/>
        <v>0</v>
      </c>
      <c r="G67" s="128">
        <f t="shared" si="3"/>
        <v>0</v>
      </c>
      <c r="H67" s="128">
        <f t="shared" si="3"/>
        <v>0</v>
      </c>
      <c r="I67" s="128">
        <f t="shared" si="3"/>
        <v>0</v>
      </c>
      <c r="J67" s="128">
        <f t="shared" si="3"/>
        <v>0</v>
      </c>
      <c r="K67" s="128">
        <f t="shared" si="3"/>
        <v>0</v>
      </c>
      <c r="L67" s="128">
        <f t="shared" si="3"/>
        <v>0</v>
      </c>
      <c r="M67" s="128">
        <f t="shared" si="3"/>
        <v>0</v>
      </c>
      <c r="N67" s="128">
        <f t="shared" si="3"/>
        <v>0</v>
      </c>
      <c r="O67" s="128">
        <f t="shared" si="3"/>
        <v>0</v>
      </c>
      <c r="P67" s="128">
        <f t="shared" si="3"/>
        <v>0</v>
      </c>
      <c r="Q67" s="128">
        <f t="shared" si="3"/>
        <v>0</v>
      </c>
      <c r="R67" s="128">
        <f t="shared" si="3"/>
        <v>0</v>
      </c>
      <c r="S67" s="128">
        <f t="shared" si="3"/>
        <v>0</v>
      </c>
      <c r="T67" s="128">
        <f t="shared" si="3"/>
        <v>0</v>
      </c>
      <c r="U67" s="128">
        <f t="shared" si="3"/>
        <v>0</v>
      </c>
      <c r="V67" s="128">
        <f t="shared" si="3"/>
        <v>0</v>
      </c>
    </row>
    <row r="68" spans="1:22" x14ac:dyDescent="0.3">
      <c r="A68" s="526"/>
      <c r="B68" s="129"/>
      <c r="C68" s="130"/>
      <c r="D68" s="130"/>
      <c r="E68" s="130"/>
      <c r="F68" s="130"/>
      <c r="G68" s="130"/>
      <c r="H68" s="130"/>
      <c r="I68" s="130"/>
      <c r="J68" s="130"/>
      <c r="K68" s="130"/>
      <c r="L68" s="130"/>
      <c r="M68" s="130"/>
      <c r="N68" s="130"/>
      <c r="O68" s="130"/>
      <c r="P68" s="130"/>
      <c r="Q68" s="130"/>
      <c r="R68" s="130"/>
      <c r="S68" s="130"/>
      <c r="T68" s="130"/>
      <c r="U68" s="130"/>
      <c r="V68" s="130"/>
    </row>
    <row r="69" spans="1:22" x14ac:dyDescent="0.3">
      <c r="A69" s="526"/>
      <c r="B69" s="129"/>
      <c r="C69" s="130"/>
      <c r="D69" s="130"/>
      <c r="E69" s="130"/>
      <c r="F69" s="130"/>
      <c r="G69" s="130"/>
      <c r="H69" s="130"/>
      <c r="I69" s="130"/>
      <c r="J69" s="130"/>
      <c r="K69" s="130"/>
      <c r="L69" s="130"/>
      <c r="M69" s="130"/>
      <c r="N69" s="130"/>
      <c r="O69" s="130"/>
      <c r="P69" s="130"/>
      <c r="Q69" s="130"/>
      <c r="R69" s="130"/>
      <c r="S69" s="130"/>
      <c r="T69" s="130"/>
      <c r="U69" s="130"/>
      <c r="V69" s="130"/>
    </row>
    <row r="70" spans="1:22" x14ac:dyDescent="0.3">
      <c r="A70" s="526"/>
      <c r="B70" s="129"/>
      <c r="C70" s="130"/>
      <c r="D70" s="130"/>
      <c r="E70" s="130"/>
      <c r="F70" s="130"/>
      <c r="G70" s="130"/>
      <c r="H70" s="130"/>
      <c r="I70" s="130"/>
      <c r="J70" s="130"/>
      <c r="K70" s="130"/>
      <c r="L70" s="130"/>
      <c r="M70" s="130"/>
      <c r="N70" s="130"/>
      <c r="O70" s="130"/>
      <c r="P70" s="130"/>
      <c r="Q70" s="130"/>
      <c r="R70" s="130"/>
      <c r="S70" s="130"/>
      <c r="T70" s="130"/>
      <c r="U70" s="130"/>
      <c r="V70" s="130"/>
    </row>
    <row r="71" spans="1:22" x14ac:dyDescent="0.3">
      <c r="A71" s="526"/>
      <c r="B71" s="129"/>
      <c r="C71" s="130"/>
      <c r="D71" s="130"/>
      <c r="E71" s="130"/>
      <c r="F71" s="130"/>
      <c r="G71" s="130"/>
      <c r="H71" s="130"/>
      <c r="I71" s="130"/>
      <c r="J71" s="130"/>
      <c r="K71" s="130"/>
      <c r="L71" s="130"/>
      <c r="M71" s="130"/>
      <c r="N71" s="130"/>
      <c r="O71" s="130"/>
      <c r="P71" s="130"/>
      <c r="Q71" s="130"/>
      <c r="R71" s="130"/>
      <c r="S71" s="130"/>
      <c r="T71" s="130"/>
      <c r="U71" s="130"/>
      <c r="V71" s="130"/>
    </row>
    <row r="72" spans="1:22" x14ac:dyDescent="0.3">
      <c r="A72" s="526"/>
      <c r="B72" s="129"/>
      <c r="C72" s="130"/>
      <c r="D72" s="130"/>
      <c r="E72" s="130"/>
      <c r="F72" s="130"/>
      <c r="G72" s="130"/>
      <c r="H72" s="130"/>
      <c r="I72" s="130"/>
      <c r="J72" s="130"/>
      <c r="K72" s="130"/>
      <c r="L72" s="130"/>
      <c r="M72" s="130"/>
      <c r="N72" s="130"/>
      <c r="O72" s="130"/>
      <c r="P72" s="130"/>
      <c r="Q72" s="130"/>
      <c r="R72" s="130"/>
      <c r="S72" s="130"/>
      <c r="T72" s="130"/>
      <c r="U72" s="130"/>
      <c r="V72" s="130"/>
    </row>
    <row r="73" spans="1:22" x14ac:dyDescent="0.3">
      <c r="A73" s="526"/>
    </row>
    <row r="74" spans="1:22" x14ac:dyDescent="0.3">
      <c r="A74" s="526"/>
    </row>
    <row r="75" spans="1:22" x14ac:dyDescent="0.3">
      <c r="A75" s="526"/>
      <c r="B75" s="35" t="s">
        <v>163</v>
      </c>
      <c r="L75" s="20"/>
      <c r="M75" s="20"/>
    </row>
    <row r="76" spans="1:22" x14ac:dyDescent="0.3">
      <c r="A76" s="526"/>
      <c r="B76" s="78" t="s">
        <v>82</v>
      </c>
      <c r="C76" s="78">
        <v>2021</v>
      </c>
      <c r="D76" s="79">
        <v>2022</v>
      </c>
      <c r="E76" s="78">
        <v>2023</v>
      </c>
      <c r="F76" s="79">
        <v>2024</v>
      </c>
      <c r="G76" s="78">
        <v>2025</v>
      </c>
      <c r="H76" s="79">
        <v>2026</v>
      </c>
      <c r="I76" s="78">
        <v>2027</v>
      </c>
      <c r="J76" s="79">
        <v>2028</v>
      </c>
      <c r="K76" s="78">
        <v>2029</v>
      </c>
      <c r="L76" s="79">
        <v>2030</v>
      </c>
      <c r="M76" s="78">
        <v>2031</v>
      </c>
      <c r="N76" s="79">
        <v>2032</v>
      </c>
      <c r="O76" s="78">
        <v>2033</v>
      </c>
      <c r="P76" s="79">
        <v>2034</v>
      </c>
      <c r="Q76" s="78">
        <v>2035</v>
      </c>
      <c r="R76" s="79">
        <v>2036</v>
      </c>
      <c r="S76" s="78">
        <v>2037</v>
      </c>
      <c r="T76" s="79">
        <v>2038</v>
      </c>
      <c r="U76" s="78">
        <v>2039</v>
      </c>
      <c r="V76" s="79">
        <v>2040</v>
      </c>
    </row>
    <row r="77" spans="1:22" x14ac:dyDescent="0.3">
      <c r="A77" s="526"/>
      <c r="B77" s="33" t="s">
        <v>43</v>
      </c>
      <c r="C77" s="81" t="str">
        <f>IFERROR(SR_demand_forecast!C129*Historical_Cost!#REF!,"-")</f>
        <v>-</v>
      </c>
      <c r="D77" s="81" t="str">
        <f>IFERROR(SR_demand_forecast!D129*Historical_Cost!#REF!,"-")</f>
        <v>-</v>
      </c>
      <c r="E77" s="81" t="str">
        <f>IFERROR(SR_demand_forecast!E129*Historical_Cost!#REF!,"-")</f>
        <v>-</v>
      </c>
      <c r="F77" s="81" t="str">
        <f>IFERROR(SR_demand_forecast!F129*Historical_Cost!#REF!,"-")</f>
        <v>-</v>
      </c>
      <c r="G77" s="81" t="str">
        <f>IFERROR(SR_demand_forecast!G129*Historical_Cost!#REF!,"-")</f>
        <v>-</v>
      </c>
      <c r="H77" s="81" t="str">
        <f>IFERROR(SR_demand_forecast!H129*Historical_Cost!#REF!,"-")</f>
        <v>-</v>
      </c>
      <c r="I77" s="81" t="str">
        <f>IFERROR(SR_demand_forecast!I129*Historical_Cost!#REF!,"-")</f>
        <v>-</v>
      </c>
      <c r="J77" s="81" t="str">
        <f>IFERROR(SR_demand_forecast!J129*Historical_Cost!#REF!,"-")</f>
        <v>-</v>
      </c>
      <c r="K77" s="81" t="str">
        <f>IFERROR(SR_demand_forecast!K129*Historical_Cost!#REF!,"-")</f>
        <v>-</v>
      </c>
      <c r="L77" s="81" t="str">
        <f>IFERROR(SR_demand_forecast!L129*Historical_Cost!#REF!,"-")</f>
        <v>-</v>
      </c>
      <c r="M77" s="81" t="str">
        <f>IFERROR(SR_demand_forecast!M129*Historical_Cost!#REF!,"-")</f>
        <v>-</v>
      </c>
      <c r="N77" s="81" t="str">
        <f>IFERROR(SR_demand_forecast!N129*Historical_Cost!#REF!,"-")</f>
        <v>-</v>
      </c>
      <c r="O77" s="81" t="str">
        <f>IFERROR(SR_demand_forecast!O129*Historical_Cost!#REF!,"-")</f>
        <v>-</v>
      </c>
      <c r="P77" s="81" t="str">
        <f>IFERROR(SR_demand_forecast!P129*Historical_Cost!#REF!,"-")</f>
        <v>-</v>
      </c>
      <c r="Q77" s="81" t="str">
        <f>IFERROR(SR_demand_forecast!Q129*Historical_Cost!#REF!,"-")</f>
        <v>-</v>
      </c>
      <c r="R77" s="81" t="str">
        <f>IFERROR(SR_demand_forecast!R129*Historical_Cost!#REF!,"-")</f>
        <v>-</v>
      </c>
      <c r="S77" s="81" t="str">
        <f>IFERROR(SR_demand_forecast!S129*Historical_Cost!#REF!,"-")</f>
        <v>-</v>
      </c>
      <c r="T77" s="81" t="str">
        <f>IFERROR(SR_demand_forecast!T129*Historical_Cost!#REF!,"-")</f>
        <v>-</v>
      </c>
      <c r="U77" s="81" t="str">
        <f>IFERROR(SR_demand_forecast!U129*Historical_Cost!#REF!,"-")</f>
        <v>-</v>
      </c>
      <c r="V77" s="81" t="str">
        <f>IFERROR(SR_demand_forecast!V129*Historical_Cost!#REF!,"-")</f>
        <v>-</v>
      </c>
    </row>
    <row r="78" spans="1:22" x14ac:dyDescent="0.3">
      <c r="A78" s="526"/>
      <c r="B78" s="33" t="s">
        <v>41</v>
      </c>
      <c r="C78" s="81" t="str">
        <f>IFERROR(SR_demand_forecast!C130*Historical_Cost!#REF!,"-")</f>
        <v>-</v>
      </c>
      <c r="D78" s="81" t="str">
        <f>IFERROR(SR_demand_forecast!D130*Historical_Cost!#REF!,"-")</f>
        <v>-</v>
      </c>
      <c r="E78" s="81" t="str">
        <f>IFERROR(SR_demand_forecast!E130*Historical_Cost!#REF!,"-")</f>
        <v>-</v>
      </c>
      <c r="F78" s="81" t="str">
        <f>IFERROR(SR_demand_forecast!F130*Historical_Cost!#REF!,"-")</f>
        <v>-</v>
      </c>
      <c r="G78" s="81" t="str">
        <f>IFERROR(SR_demand_forecast!G130*Historical_Cost!#REF!,"-")</f>
        <v>-</v>
      </c>
      <c r="H78" s="81" t="str">
        <f>IFERROR(SR_demand_forecast!H130*Historical_Cost!#REF!,"-")</f>
        <v>-</v>
      </c>
      <c r="I78" s="81" t="str">
        <f>IFERROR(SR_demand_forecast!I130*Historical_Cost!#REF!,"-")</f>
        <v>-</v>
      </c>
      <c r="J78" s="81" t="str">
        <f>IFERROR(SR_demand_forecast!J130*Historical_Cost!#REF!,"-")</f>
        <v>-</v>
      </c>
      <c r="K78" s="81" t="str">
        <f>IFERROR(SR_demand_forecast!K130*Historical_Cost!#REF!,"-")</f>
        <v>-</v>
      </c>
      <c r="L78" s="81" t="str">
        <f>IFERROR(SR_demand_forecast!L130*Historical_Cost!#REF!,"-")</f>
        <v>-</v>
      </c>
      <c r="M78" s="81" t="str">
        <f>IFERROR(SR_demand_forecast!M130*Historical_Cost!#REF!,"-")</f>
        <v>-</v>
      </c>
      <c r="N78" s="81" t="str">
        <f>IFERROR(SR_demand_forecast!N130*Historical_Cost!#REF!,"-")</f>
        <v>-</v>
      </c>
      <c r="O78" s="81" t="str">
        <f>IFERROR(SR_demand_forecast!O130*Historical_Cost!#REF!,"-")</f>
        <v>-</v>
      </c>
      <c r="P78" s="81" t="str">
        <f>IFERROR(SR_demand_forecast!P130*Historical_Cost!#REF!,"-")</f>
        <v>-</v>
      </c>
      <c r="Q78" s="81" t="str">
        <f>IFERROR(SR_demand_forecast!Q130*Historical_Cost!#REF!,"-")</f>
        <v>-</v>
      </c>
      <c r="R78" s="81" t="str">
        <f>IFERROR(SR_demand_forecast!R130*Historical_Cost!#REF!,"-")</f>
        <v>-</v>
      </c>
      <c r="S78" s="81" t="str">
        <f>IFERROR(SR_demand_forecast!S130*Historical_Cost!#REF!,"-")</f>
        <v>-</v>
      </c>
      <c r="T78" s="81" t="str">
        <f>IFERROR(SR_demand_forecast!T130*Historical_Cost!#REF!,"-")</f>
        <v>-</v>
      </c>
      <c r="U78" s="81" t="str">
        <f>IFERROR(SR_demand_forecast!U130*Historical_Cost!#REF!,"-")</f>
        <v>-</v>
      </c>
      <c r="V78" s="81" t="str">
        <f>IFERROR(SR_demand_forecast!V130*Historical_Cost!#REF!,"-")</f>
        <v>-</v>
      </c>
    </row>
    <row r="79" spans="1:22" x14ac:dyDescent="0.3">
      <c r="A79" s="526"/>
      <c r="B79" s="33" t="s">
        <v>40</v>
      </c>
      <c r="C79" s="81" t="str">
        <f>IFERROR(SR_demand_forecast!C131*Historical_Cost!#REF!,"-")</f>
        <v>-</v>
      </c>
      <c r="D79" s="81" t="str">
        <f>IFERROR(SR_demand_forecast!D131*Historical_Cost!#REF!,"-")</f>
        <v>-</v>
      </c>
      <c r="E79" s="81" t="str">
        <f>IFERROR(SR_demand_forecast!E131*Historical_Cost!#REF!,"-")</f>
        <v>-</v>
      </c>
      <c r="F79" s="81" t="str">
        <f>IFERROR(SR_demand_forecast!F131*Historical_Cost!#REF!,"-")</f>
        <v>-</v>
      </c>
      <c r="G79" s="81" t="str">
        <f>IFERROR(SR_demand_forecast!G131*Historical_Cost!#REF!,"-")</f>
        <v>-</v>
      </c>
      <c r="H79" s="81" t="str">
        <f>IFERROR(SR_demand_forecast!H131*Historical_Cost!#REF!,"-")</f>
        <v>-</v>
      </c>
      <c r="I79" s="81" t="str">
        <f>IFERROR(SR_demand_forecast!I131*Historical_Cost!#REF!,"-")</f>
        <v>-</v>
      </c>
      <c r="J79" s="81" t="str">
        <f>IFERROR(SR_demand_forecast!J131*Historical_Cost!#REF!,"-")</f>
        <v>-</v>
      </c>
      <c r="K79" s="81" t="str">
        <f>IFERROR(SR_demand_forecast!K131*Historical_Cost!#REF!,"-")</f>
        <v>-</v>
      </c>
      <c r="L79" s="81" t="str">
        <f>IFERROR(SR_demand_forecast!L131*Historical_Cost!#REF!,"-")</f>
        <v>-</v>
      </c>
      <c r="M79" s="81" t="str">
        <f>IFERROR(SR_demand_forecast!M131*Historical_Cost!#REF!,"-")</f>
        <v>-</v>
      </c>
      <c r="N79" s="81" t="str">
        <f>IFERROR(SR_demand_forecast!N131*Historical_Cost!#REF!,"-")</f>
        <v>-</v>
      </c>
      <c r="O79" s="81" t="str">
        <f>IFERROR(SR_demand_forecast!O131*Historical_Cost!#REF!,"-")</f>
        <v>-</v>
      </c>
      <c r="P79" s="81" t="str">
        <f>IFERROR(SR_demand_forecast!P131*Historical_Cost!#REF!,"-")</f>
        <v>-</v>
      </c>
      <c r="Q79" s="81" t="str">
        <f>IFERROR(SR_demand_forecast!Q131*Historical_Cost!#REF!,"-")</f>
        <v>-</v>
      </c>
      <c r="R79" s="81" t="str">
        <f>IFERROR(SR_demand_forecast!R131*Historical_Cost!#REF!,"-")</f>
        <v>-</v>
      </c>
      <c r="S79" s="81" t="str">
        <f>IFERROR(SR_demand_forecast!S131*Historical_Cost!#REF!,"-")</f>
        <v>-</v>
      </c>
      <c r="T79" s="81" t="str">
        <f>IFERROR(SR_demand_forecast!T131*Historical_Cost!#REF!,"-")</f>
        <v>-</v>
      </c>
      <c r="U79" s="81" t="str">
        <f>IFERROR(SR_demand_forecast!U131*Historical_Cost!#REF!,"-")</f>
        <v>-</v>
      </c>
      <c r="V79" s="81" t="str">
        <f>IFERROR(SR_demand_forecast!V131*Historical_Cost!#REF!,"-")</f>
        <v>-</v>
      </c>
    </row>
    <row r="80" spans="1:22" x14ac:dyDescent="0.3">
      <c r="A80" s="526"/>
      <c r="B80" s="33" t="s">
        <v>80</v>
      </c>
      <c r="C80" s="81" t="str">
        <f>IFERROR(SR_demand_forecast!C132*Historical_Cost!#REF!,"-")</f>
        <v>-</v>
      </c>
      <c r="D80" s="81" t="str">
        <f>IFERROR(SR_demand_forecast!D132*Historical_Cost!#REF!,"-")</f>
        <v>-</v>
      </c>
      <c r="E80" s="81" t="str">
        <f>IFERROR(SR_demand_forecast!E132*Historical_Cost!#REF!,"-")</f>
        <v>-</v>
      </c>
      <c r="F80" s="81" t="str">
        <f>IFERROR(SR_demand_forecast!F132*Historical_Cost!#REF!,"-")</f>
        <v>-</v>
      </c>
      <c r="G80" s="81" t="str">
        <f>IFERROR(SR_demand_forecast!G132*Historical_Cost!#REF!,"-")</f>
        <v>-</v>
      </c>
      <c r="H80" s="81" t="str">
        <f>IFERROR(SR_demand_forecast!H132*Historical_Cost!#REF!,"-")</f>
        <v>-</v>
      </c>
      <c r="I80" s="81" t="str">
        <f>IFERROR(SR_demand_forecast!I132*Historical_Cost!#REF!,"-")</f>
        <v>-</v>
      </c>
      <c r="J80" s="81" t="str">
        <f>IFERROR(SR_demand_forecast!J132*Historical_Cost!#REF!,"-")</f>
        <v>-</v>
      </c>
      <c r="K80" s="81" t="str">
        <f>IFERROR(SR_demand_forecast!K132*Historical_Cost!#REF!,"-")</f>
        <v>-</v>
      </c>
      <c r="L80" s="81" t="str">
        <f>IFERROR(SR_demand_forecast!L132*Historical_Cost!#REF!,"-")</f>
        <v>-</v>
      </c>
      <c r="M80" s="81" t="str">
        <f>IFERROR(SR_demand_forecast!M132*Historical_Cost!#REF!,"-")</f>
        <v>-</v>
      </c>
      <c r="N80" s="81" t="str">
        <f>IFERROR(SR_demand_forecast!N132*Historical_Cost!#REF!,"-")</f>
        <v>-</v>
      </c>
      <c r="O80" s="81" t="str">
        <f>IFERROR(SR_demand_forecast!O132*Historical_Cost!#REF!,"-")</f>
        <v>-</v>
      </c>
      <c r="P80" s="81" t="str">
        <f>IFERROR(SR_demand_forecast!P132*Historical_Cost!#REF!,"-")</f>
        <v>-</v>
      </c>
      <c r="Q80" s="81" t="str">
        <f>IFERROR(SR_demand_forecast!Q132*Historical_Cost!#REF!,"-")</f>
        <v>-</v>
      </c>
      <c r="R80" s="81" t="str">
        <f>IFERROR(SR_demand_forecast!R132*Historical_Cost!#REF!,"-")</f>
        <v>-</v>
      </c>
      <c r="S80" s="81" t="str">
        <f>IFERROR(SR_demand_forecast!S132*Historical_Cost!#REF!,"-")</f>
        <v>-</v>
      </c>
      <c r="T80" s="81" t="str">
        <f>IFERROR(SR_demand_forecast!T132*Historical_Cost!#REF!,"-")</f>
        <v>-</v>
      </c>
      <c r="U80" s="81" t="str">
        <f>IFERROR(SR_demand_forecast!U132*Historical_Cost!#REF!,"-")</f>
        <v>-</v>
      </c>
      <c r="V80" s="81" t="str">
        <f>IFERROR(SR_demand_forecast!V132*Historical_Cost!#REF!,"-")</f>
        <v>-</v>
      </c>
    </row>
    <row r="81" spans="1:22" x14ac:dyDescent="0.3">
      <c r="A81" s="526"/>
      <c r="B81" s="33" t="s">
        <v>44</v>
      </c>
      <c r="C81" s="81" t="str">
        <f>IFERROR(SR_demand_forecast!C133*Historical_Cost!#REF!,"-")</f>
        <v>-</v>
      </c>
      <c r="D81" s="81" t="str">
        <f>IFERROR(SR_demand_forecast!D133*Historical_Cost!#REF!,"-")</f>
        <v>-</v>
      </c>
      <c r="E81" s="81" t="str">
        <f>IFERROR(SR_demand_forecast!E133*Historical_Cost!#REF!,"-")</f>
        <v>-</v>
      </c>
      <c r="F81" s="81" t="str">
        <f>IFERROR(SR_demand_forecast!F133*Historical_Cost!#REF!,"-")</f>
        <v>-</v>
      </c>
      <c r="G81" s="81" t="str">
        <f>IFERROR(SR_demand_forecast!G133*Historical_Cost!#REF!,"-")</f>
        <v>-</v>
      </c>
      <c r="H81" s="81" t="str">
        <f>IFERROR(SR_demand_forecast!H133*Historical_Cost!#REF!,"-")</f>
        <v>-</v>
      </c>
      <c r="I81" s="81" t="str">
        <f>IFERROR(SR_demand_forecast!I133*Historical_Cost!#REF!,"-")</f>
        <v>-</v>
      </c>
      <c r="J81" s="81" t="str">
        <f>IFERROR(SR_demand_forecast!J133*Historical_Cost!#REF!,"-")</f>
        <v>-</v>
      </c>
      <c r="K81" s="81" t="str">
        <f>IFERROR(SR_demand_forecast!K133*Historical_Cost!#REF!,"-")</f>
        <v>-</v>
      </c>
      <c r="L81" s="81" t="str">
        <f>IFERROR(SR_demand_forecast!L133*Historical_Cost!#REF!,"-")</f>
        <v>-</v>
      </c>
      <c r="M81" s="81" t="str">
        <f>IFERROR(SR_demand_forecast!M133*Historical_Cost!#REF!,"-")</f>
        <v>-</v>
      </c>
      <c r="N81" s="81" t="str">
        <f>IFERROR(SR_demand_forecast!N133*Historical_Cost!#REF!,"-")</f>
        <v>-</v>
      </c>
      <c r="O81" s="81" t="str">
        <f>IFERROR(SR_demand_forecast!O133*Historical_Cost!#REF!,"-")</f>
        <v>-</v>
      </c>
      <c r="P81" s="81" t="str">
        <f>IFERROR(SR_demand_forecast!P133*Historical_Cost!#REF!,"-")</f>
        <v>-</v>
      </c>
      <c r="Q81" s="81" t="str">
        <f>IFERROR(SR_demand_forecast!Q133*Historical_Cost!#REF!,"-")</f>
        <v>-</v>
      </c>
      <c r="R81" s="81" t="str">
        <f>IFERROR(SR_demand_forecast!R133*Historical_Cost!#REF!,"-")</f>
        <v>-</v>
      </c>
      <c r="S81" s="81" t="str">
        <f>IFERROR(SR_demand_forecast!S133*Historical_Cost!#REF!,"-")</f>
        <v>-</v>
      </c>
      <c r="T81" s="81" t="str">
        <f>IFERROR(SR_demand_forecast!T133*Historical_Cost!#REF!,"-")</f>
        <v>-</v>
      </c>
      <c r="U81" s="81" t="str">
        <f>IFERROR(SR_demand_forecast!U133*Historical_Cost!#REF!,"-")</f>
        <v>-</v>
      </c>
      <c r="V81" s="81" t="str">
        <f>IFERROR(SR_demand_forecast!V133*Historical_Cost!#REF!,"-")</f>
        <v>-</v>
      </c>
    </row>
    <row r="82" spans="1:22" x14ac:dyDescent="0.3">
      <c r="A82" s="526"/>
      <c r="B82" s="33" t="s">
        <v>81</v>
      </c>
      <c r="C82" s="81" t="str">
        <f>IFERROR(SR_demand_forecast!C134*Historical_Cost!#REF!,"-")</f>
        <v>-</v>
      </c>
      <c r="D82" s="81" t="str">
        <f>IFERROR(SR_demand_forecast!D134*Historical_Cost!#REF!,"-")</f>
        <v>-</v>
      </c>
      <c r="E82" s="81" t="str">
        <f>IFERROR(SR_demand_forecast!E134*Historical_Cost!#REF!,"-")</f>
        <v>-</v>
      </c>
      <c r="F82" s="81" t="str">
        <f>IFERROR(SR_demand_forecast!F134*Historical_Cost!#REF!,"-")</f>
        <v>-</v>
      </c>
      <c r="G82" s="81" t="str">
        <f>IFERROR(SR_demand_forecast!G134*Historical_Cost!#REF!,"-")</f>
        <v>-</v>
      </c>
      <c r="H82" s="81" t="str">
        <f>IFERROR(SR_demand_forecast!H134*Historical_Cost!#REF!,"-")</f>
        <v>-</v>
      </c>
      <c r="I82" s="81" t="str">
        <f>IFERROR(SR_demand_forecast!I134*Historical_Cost!#REF!,"-")</f>
        <v>-</v>
      </c>
      <c r="J82" s="81" t="str">
        <f>IFERROR(SR_demand_forecast!J134*Historical_Cost!#REF!,"-")</f>
        <v>-</v>
      </c>
      <c r="K82" s="81" t="str">
        <f>IFERROR(SR_demand_forecast!K134*Historical_Cost!#REF!,"-")</f>
        <v>-</v>
      </c>
      <c r="L82" s="81" t="str">
        <f>IFERROR(SR_demand_forecast!L134*Historical_Cost!#REF!,"-")</f>
        <v>-</v>
      </c>
      <c r="M82" s="81" t="str">
        <f>IFERROR(SR_demand_forecast!M134*Historical_Cost!#REF!,"-")</f>
        <v>-</v>
      </c>
      <c r="N82" s="81" t="str">
        <f>IFERROR(SR_demand_forecast!N134*Historical_Cost!#REF!,"-")</f>
        <v>-</v>
      </c>
      <c r="O82" s="81" t="str">
        <f>IFERROR(SR_demand_forecast!O134*Historical_Cost!#REF!,"-")</f>
        <v>-</v>
      </c>
      <c r="P82" s="81" t="str">
        <f>IFERROR(SR_demand_forecast!P134*Historical_Cost!#REF!,"-")</f>
        <v>-</v>
      </c>
      <c r="Q82" s="81" t="str">
        <f>IFERROR(SR_demand_forecast!Q134*Historical_Cost!#REF!,"-")</f>
        <v>-</v>
      </c>
      <c r="R82" s="81" t="str">
        <f>IFERROR(SR_demand_forecast!R134*Historical_Cost!#REF!,"-")</f>
        <v>-</v>
      </c>
      <c r="S82" s="81" t="str">
        <f>IFERROR(SR_demand_forecast!S134*Historical_Cost!#REF!,"-")</f>
        <v>-</v>
      </c>
      <c r="T82" s="81" t="str">
        <f>IFERROR(SR_demand_forecast!T134*Historical_Cost!#REF!,"-")</f>
        <v>-</v>
      </c>
      <c r="U82" s="81" t="str">
        <f>IFERROR(SR_demand_forecast!U134*Historical_Cost!#REF!,"-")</f>
        <v>-</v>
      </c>
      <c r="V82" s="81" t="str">
        <f>IFERROR(SR_demand_forecast!V134*Historical_Cost!#REF!,"-")</f>
        <v>-</v>
      </c>
    </row>
    <row r="83" spans="1:22" x14ac:dyDescent="0.3">
      <c r="A83" s="526"/>
      <c r="B83" s="33" t="s">
        <v>42</v>
      </c>
      <c r="C83" s="81" t="str">
        <f>IFERROR(SR_demand_forecast!C135*Historical_Cost!#REF!,"-")</f>
        <v>-</v>
      </c>
      <c r="D83" s="81" t="str">
        <f>IFERROR(SR_demand_forecast!D135*Historical_Cost!#REF!,"-")</f>
        <v>-</v>
      </c>
      <c r="E83" s="81" t="str">
        <f>IFERROR(SR_demand_forecast!E135*Historical_Cost!#REF!,"-")</f>
        <v>-</v>
      </c>
      <c r="F83" s="81" t="str">
        <f>IFERROR(SR_demand_forecast!F135*Historical_Cost!#REF!,"-")</f>
        <v>-</v>
      </c>
      <c r="G83" s="81" t="str">
        <f>IFERROR(SR_demand_forecast!G135*Historical_Cost!#REF!,"-")</f>
        <v>-</v>
      </c>
      <c r="H83" s="81" t="str">
        <f>IFERROR(SR_demand_forecast!H135*Historical_Cost!#REF!,"-")</f>
        <v>-</v>
      </c>
      <c r="I83" s="81" t="str">
        <f>IFERROR(SR_demand_forecast!I135*Historical_Cost!#REF!,"-")</f>
        <v>-</v>
      </c>
      <c r="J83" s="81" t="str">
        <f>IFERROR(SR_demand_forecast!J135*Historical_Cost!#REF!,"-")</f>
        <v>-</v>
      </c>
      <c r="K83" s="81" t="str">
        <f>IFERROR(SR_demand_forecast!K135*Historical_Cost!#REF!,"-")</f>
        <v>-</v>
      </c>
      <c r="L83" s="81" t="str">
        <f>IFERROR(SR_demand_forecast!L135*Historical_Cost!#REF!,"-")</f>
        <v>-</v>
      </c>
      <c r="M83" s="81" t="str">
        <f>IFERROR(SR_demand_forecast!M135*Historical_Cost!#REF!,"-")</f>
        <v>-</v>
      </c>
      <c r="N83" s="81" t="str">
        <f>IFERROR(SR_demand_forecast!N135*Historical_Cost!#REF!,"-")</f>
        <v>-</v>
      </c>
      <c r="O83" s="81" t="str">
        <f>IFERROR(SR_demand_forecast!O135*Historical_Cost!#REF!,"-")</f>
        <v>-</v>
      </c>
      <c r="P83" s="81" t="str">
        <f>IFERROR(SR_demand_forecast!P135*Historical_Cost!#REF!,"-")</f>
        <v>-</v>
      </c>
      <c r="Q83" s="81" t="str">
        <f>IFERROR(SR_demand_forecast!Q135*Historical_Cost!#REF!,"-")</f>
        <v>-</v>
      </c>
      <c r="R83" s="81" t="str">
        <f>IFERROR(SR_demand_forecast!R135*Historical_Cost!#REF!,"-")</f>
        <v>-</v>
      </c>
      <c r="S83" s="81" t="str">
        <f>IFERROR(SR_demand_forecast!S135*Historical_Cost!#REF!,"-")</f>
        <v>-</v>
      </c>
      <c r="T83" s="81" t="str">
        <f>IFERROR(SR_demand_forecast!T135*Historical_Cost!#REF!,"-")</f>
        <v>-</v>
      </c>
      <c r="U83" s="81" t="str">
        <f>IFERROR(SR_demand_forecast!U135*Historical_Cost!#REF!,"-")</f>
        <v>-</v>
      </c>
      <c r="V83" s="81" t="str">
        <f>IFERROR(SR_demand_forecast!V135*Historical_Cost!#REF!,"-")</f>
        <v>-</v>
      </c>
    </row>
    <row r="84" spans="1:22" x14ac:dyDescent="0.3">
      <c r="A84" s="526"/>
      <c r="B84" s="33" t="s">
        <v>45</v>
      </c>
      <c r="C84" s="81" t="str">
        <f>IFERROR(SR_demand_forecast!C136*Historical_Cost!#REF!,"-")</f>
        <v>-</v>
      </c>
      <c r="D84" s="81" t="str">
        <f>IFERROR(SR_demand_forecast!D136*Historical_Cost!#REF!,"-")</f>
        <v>-</v>
      </c>
      <c r="E84" s="81" t="str">
        <f>IFERROR(SR_demand_forecast!E136*Historical_Cost!#REF!,"-")</f>
        <v>-</v>
      </c>
      <c r="F84" s="81" t="str">
        <f>IFERROR(SR_demand_forecast!F136*Historical_Cost!#REF!,"-")</f>
        <v>-</v>
      </c>
      <c r="G84" s="81" t="str">
        <f>IFERROR(SR_demand_forecast!G136*Historical_Cost!#REF!,"-")</f>
        <v>-</v>
      </c>
      <c r="H84" s="81" t="str">
        <f>IFERROR(SR_demand_forecast!H136*Historical_Cost!#REF!,"-")</f>
        <v>-</v>
      </c>
      <c r="I84" s="81" t="str">
        <f>IFERROR(SR_demand_forecast!I136*Historical_Cost!#REF!,"-")</f>
        <v>-</v>
      </c>
      <c r="J84" s="81" t="str">
        <f>IFERROR(SR_demand_forecast!J136*Historical_Cost!#REF!,"-")</f>
        <v>-</v>
      </c>
      <c r="K84" s="81" t="str">
        <f>IFERROR(SR_demand_forecast!K136*Historical_Cost!#REF!,"-")</f>
        <v>-</v>
      </c>
      <c r="L84" s="81" t="str">
        <f>IFERROR(SR_demand_forecast!L136*Historical_Cost!#REF!,"-")</f>
        <v>-</v>
      </c>
      <c r="M84" s="81" t="str">
        <f>IFERROR(SR_demand_forecast!M136*Historical_Cost!#REF!,"-")</f>
        <v>-</v>
      </c>
      <c r="N84" s="81" t="str">
        <f>IFERROR(SR_demand_forecast!N136*Historical_Cost!#REF!,"-")</f>
        <v>-</v>
      </c>
      <c r="O84" s="81" t="str">
        <f>IFERROR(SR_demand_forecast!O136*Historical_Cost!#REF!,"-")</f>
        <v>-</v>
      </c>
      <c r="P84" s="81" t="str">
        <f>IFERROR(SR_demand_forecast!P136*Historical_Cost!#REF!,"-")</f>
        <v>-</v>
      </c>
      <c r="Q84" s="81" t="str">
        <f>IFERROR(SR_demand_forecast!Q136*Historical_Cost!#REF!,"-")</f>
        <v>-</v>
      </c>
      <c r="R84" s="81" t="str">
        <f>IFERROR(SR_demand_forecast!R136*Historical_Cost!#REF!,"-")</f>
        <v>-</v>
      </c>
      <c r="S84" s="81" t="str">
        <f>IFERROR(SR_demand_forecast!S136*Historical_Cost!#REF!,"-")</f>
        <v>-</v>
      </c>
      <c r="T84" s="81" t="str">
        <f>IFERROR(SR_demand_forecast!T136*Historical_Cost!#REF!,"-")</f>
        <v>-</v>
      </c>
      <c r="U84" s="81" t="str">
        <f>IFERROR(SR_demand_forecast!U136*Historical_Cost!#REF!,"-")</f>
        <v>-</v>
      </c>
      <c r="V84" s="81" t="str">
        <f>IFERROR(SR_demand_forecast!V136*Historical_Cost!#REF!,"-")</f>
        <v>-</v>
      </c>
    </row>
    <row r="85" spans="1:22" x14ac:dyDescent="0.3">
      <c r="A85" s="526"/>
      <c r="B85" s="33" t="s">
        <v>84</v>
      </c>
      <c r="C85" s="128">
        <f t="shared" ref="C85:V85" si="4">SUM(C77:C84)</f>
        <v>0</v>
      </c>
      <c r="D85" s="128">
        <f t="shared" si="4"/>
        <v>0</v>
      </c>
      <c r="E85" s="128">
        <f t="shared" si="4"/>
        <v>0</v>
      </c>
      <c r="F85" s="128">
        <f t="shared" si="4"/>
        <v>0</v>
      </c>
      <c r="G85" s="128">
        <f t="shared" si="4"/>
        <v>0</v>
      </c>
      <c r="H85" s="128">
        <f t="shared" si="4"/>
        <v>0</v>
      </c>
      <c r="I85" s="128">
        <f t="shared" si="4"/>
        <v>0</v>
      </c>
      <c r="J85" s="128">
        <f t="shared" si="4"/>
        <v>0</v>
      </c>
      <c r="K85" s="128">
        <f t="shared" si="4"/>
        <v>0</v>
      </c>
      <c r="L85" s="128">
        <f t="shared" si="4"/>
        <v>0</v>
      </c>
      <c r="M85" s="128">
        <f t="shared" si="4"/>
        <v>0</v>
      </c>
      <c r="N85" s="128">
        <f t="shared" si="4"/>
        <v>0</v>
      </c>
      <c r="O85" s="128">
        <f t="shared" si="4"/>
        <v>0</v>
      </c>
      <c r="P85" s="128">
        <f t="shared" si="4"/>
        <v>0</v>
      </c>
      <c r="Q85" s="128">
        <f t="shared" si="4"/>
        <v>0</v>
      </c>
      <c r="R85" s="128">
        <f t="shared" si="4"/>
        <v>0</v>
      </c>
      <c r="S85" s="128">
        <f t="shared" si="4"/>
        <v>0</v>
      </c>
      <c r="T85" s="128">
        <f t="shared" si="4"/>
        <v>0</v>
      </c>
      <c r="U85" s="128">
        <f t="shared" si="4"/>
        <v>0</v>
      </c>
      <c r="V85" s="128">
        <f t="shared" si="4"/>
        <v>0</v>
      </c>
    </row>
    <row r="86" spans="1:22" x14ac:dyDescent="0.3">
      <c r="A86" s="526"/>
    </row>
    <row r="87" spans="1:22" x14ac:dyDescent="0.3">
      <c r="A87" s="526"/>
    </row>
    <row r="88" spans="1:22" x14ac:dyDescent="0.3">
      <c r="A88" s="526"/>
    </row>
    <row r="89" spans="1:22" x14ac:dyDescent="0.3">
      <c r="A89" s="526"/>
    </row>
    <row r="90" spans="1:22" x14ac:dyDescent="0.3">
      <c r="A90" s="526"/>
    </row>
    <row r="91" spans="1:22" x14ac:dyDescent="0.3">
      <c r="A91" s="526"/>
    </row>
    <row r="92" spans="1:22" x14ac:dyDescent="0.3">
      <c r="A92" s="526"/>
    </row>
    <row r="93" spans="1:22" x14ac:dyDescent="0.3">
      <c r="A93" s="526"/>
      <c r="B93" s="35" t="s">
        <v>164</v>
      </c>
      <c r="L93" s="20"/>
      <c r="M93" s="20"/>
    </row>
    <row r="94" spans="1:22" x14ac:dyDescent="0.3">
      <c r="A94" s="526"/>
      <c r="B94" s="78" t="s">
        <v>82</v>
      </c>
      <c r="C94" s="78">
        <v>2021</v>
      </c>
      <c r="D94" s="79">
        <v>2022</v>
      </c>
      <c r="E94" s="78">
        <v>2023</v>
      </c>
      <c r="F94" s="79">
        <v>2024</v>
      </c>
      <c r="G94" s="78">
        <v>2025</v>
      </c>
      <c r="H94" s="79">
        <v>2026</v>
      </c>
      <c r="I94" s="78">
        <v>2027</v>
      </c>
      <c r="J94" s="79">
        <v>2028</v>
      </c>
      <c r="K94" s="78">
        <v>2029</v>
      </c>
      <c r="L94" s="79">
        <v>2030</v>
      </c>
      <c r="M94" s="78">
        <v>2031</v>
      </c>
      <c r="N94" s="79">
        <v>2032</v>
      </c>
      <c r="O94" s="78">
        <v>2033</v>
      </c>
      <c r="P94" s="79">
        <v>2034</v>
      </c>
      <c r="Q94" s="78">
        <v>2035</v>
      </c>
      <c r="R94" s="79">
        <v>2036</v>
      </c>
      <c r="S94" s="78">
        <v>2037</v>
      </c>
      <c r="T94" s="79">
        <v>2038</v>
      </c>
      <c r="U94" s="78">
        <v>2039</v>
      </c>
      <c r="V94" s="79">
        <v>2040</v>
      </c>
    </row>
    <row r="95" spans="1:22" x14ac:dyDescent="0.3">
      <c r="A95" s="526"/>
      <c r="B95" s="33" t="s">
        <v>43</v>
      </c>
      <c r="C95" s="81" t="str">
        <f>IFERROR(SR_demand_forecast!C202*Historical_Cost!#REF!,"-")</f>
        <v>-</v>
      </c>
      <c r="D95" s="81" t="str">
        <f>IFERROR(SR_demand_forecast!D202*Historical_Cost!#REF!,"-")</f>
        <v>-</v>
      </c>
      <c r="E95" s="81" t="str">
        <f>IFERROR(SR_demand_forecast!E202*Historical_Cost!#REF!,"-")</f>
        <v>-</v>
      </c>
      <c r="F95" s="81" t="str">
        <f>IFERROR(SR_demand_forecast!F202*Historical_Cost!#REF!,"-")</f>
        <v>-</v>
      </c>
      <c r="G95" s="81" t="str">
        <f>IFERROR(SR_demand_forecast!G202*Historical_Cost!#REF!,"-")</f>
        <v>-</v>
      </c>
      <c r="H95" s="81" t="str">
        <f>IFERROR(SR_demand_forecast!H202*Historical_Cost!#REF!,"-")</f>
        <v>-</v>
      </c>
      <c r="I95" s="81" t="str">
        <f>IFERROR(SR_demand_forecast!I202*Historical_Cost!#REF!,"-")</f>
        <v>-</v>
      </c>
      <c r="J95" s="81" t="str">
        <f>IFERROR(SR_demand_forecast!J202*Historical_Cost!#REF!,"-")</f>
        <v>-</v>
      </c>
      <c r="K95" s="81" t="str">
        <f>IFERROR(SR_demand_forecast!K202*Historical_Cost!#REF!,"-")</f>
        <v>-</v>
      </c>
      <c r="L95" s="81" t="str">
        <f>IFERROR(SR_demand_forecast!L202*Historical_Cost!#REF!,"-")</f>
        <v>-</v>
      </c>
      <c r="M95" s="81" t="str">
        <f>IFERROR(SR_demand_forecast!M202*Historical_Cost!#REF!,"-")</f>
        <v>-</v>
      </c>
      <c r="N95" s="81" t="str">
        <f>IFERROR(SR_demand_forecast!N202*Historical_Cost!#REF!,"-")</f>
        <v>-</v>
      </c>
      <c r="O95" s="81" t="str">
        <f>IFERROR(SR_demand_forecast!O202*Historical_Cost!#REF!,"-")</f>
        <v>-</v>
      </c>
      <c r="P95" s="81" t="str">
        <f>IFERROR(SR_demand_forecast!P202*Historical_Cost!#REF!,"-")</f>
        <v>-</v>
      </c>
      <c r="Q95" s="81" t="str">
        <f>IFERROR(SR_demand_forecast!Q202*Historical_Cost!#REF!,"-")</f>
        <v>-</v>
      </c>
      <c r="R95" s="81" t="str">
        <f>IFERROR(SR_demand_forecast!R202*Historical_Cost!#REF!,"-")</f>
        <v>-</v>
      </c>
      <c r="S95" s="81" t="str">
        <f>IFERROR(SR_demand_forecast!S202*Historical_Cost!#REF!,"-")</f>
        <v>-</v>
      </c>
      <c r="T95" s="81" t="str">
        <f>IFERROR(SR_demand_forecast!T202*Historical_Cost!#REF!,"-")</f>
        <v>-</v>
      </c>
      <c r="U95" s="81" t="str">
        <f>IFERROR(SR_demand_forecast!U202*Historical_Cost!#REF!,"-")</f>
        <v>-</v>
      </c>
      <c r="V95" s="81" t="str">
        <f>IFERROR(SR_demand_forecast!V202*Historical_Cost!#REF!,"-")</f>
        <v>-</v>
      </c>
    </row>
    <row r="96" spans="1:22" x14ac:dyDescent="0.3">
      <c r="A96" s="526"/>
      <c r="B96" s="33" t="s">
        <v>41</v>
      </c>
      <c r="C96" s="81" t="str">
        <f>IFERROR(SR_demand_forecast!C203*Historical_Cost!#REF!,"-")</f>
        <v>-</v>
      </c>
      <c r="D96" s="81" t="str">
        <f>IFERROR(SR_demand_forecast!D203*Historical_Cost!#REF!,"-")</f>
        <v>-</v>
      </c>
      <c r="E96" s="81" t="str">
        <f>IFERROR(SR_demand_forecast!E203*Historical_Cost!#REF!,"-")</f>
        <v>-</v>
      </c>
      <c r="F96" s="81" t="str">
        <f>IFERROR(SR_demand_forecast!F203*Historical_Cost!#REF!,"-")</f>
        <v>-</v>
      </c>
      <c r="G96" s="81" t="str">
        <f>IFERROR(SR_demand_forecast!G203*Historical_Cost!#REF!,"-")</f>
        <v>-</v>
      </c>
      <c r="H96" s="81" t="str">
        <f>IFERROR(SR_demand_forecast!H203*Historical_Cost!#REF!,"-")</f>
        <v>-</v>
      </c>
      <c r="I96" s="81" t="str">
        <f>IFERROR(SR_demand_forecast!I203*Historical_Cost!#REF!,"-")</f>
        <v>-</v>
      </c>
      <c r="J96" s="81" t="str">
        <f>IFERROR(SR_demand_forecast!J203*Historical_Cost!#REF!,"-")</f>
        <v>-</v>
      </c>
      <c r="K96" s="81" t="str">
        <f>IFERROR(SR_demand_forecast!K203*Historical_Cost!#REF!,"-")</f>
        <v>-</v>
      </c>
      <c r="L96" s="81" t="str">
        <f>IFERROR(SR_demand_forecast!L203*Historical_Cost!#REF!,"-")</f>
        <v>-</v>
      </c>
      <c r="M96" s="81" t="str">
        <f>IFERROR(SR_demand_forecast!M203*Historical_Cost!#REF!,"-")</f>
        <v>-</v>
      </c>
      <c r="N96" s="81" t="str">
        <f>IFERROR(SR_demand_forecast!N203*Historical_Cost!#REF!,"-")</f>
        <v>-</v>
      </c>
      <c r="O96" s="81" t="str">
        <f>IFERROR(SR_demand_forecast!O203*Historical_Cost!#REF!,"-")</f>
        <v>-</v>
      </c>
      <c r="P96" s="81" t="str">
        <f>IFERROR(SR_demand_forecast!P203*Historical_Cost!#REF!,"-")</f>
        <v>-</v>
      </c>
      <c r="Q96" s="81" t="str">
        <f>IFERROR(SR_demand_forecast!Q203*Historical_Cost!#REF!,"-")</f>
        <v>-</v>
      </c>
      <c r="R96" s="81" t="str">
        <f>IFERROR(SR_demand_forecast!R203*Historical_Cost!#REF!,"-")</f>
        <v>-</v>
      </c>
      <c r="S96" s="81" t="str">
        <f>IFERROR(SR_demand_forecast!S203*Historical_Cost!#REF!,"-")</f>
        <v>-</v>
      </c>
      <c r="T96" s="81" t="str">
        <f>IFERROR(SR_demand_forecast!T203*Historical_Cost!#REF!,"-")</f>
        <v>-</v>
      </c>
      <c r="U96" s="81" t="str">
        <f>IFERROR(SR_demand_forecast!U203*Historical_Cost!#REF!,"-")</f>
        <v>-</v>
      </c>
      <c r="V96" s="81" t="str">
        <f>IFERROR(SR_demand_forecast!V203*Historical_Cost!#REF!,"-")</f>
        <v>-</v>
      </c>
    </row>
    <row r="97" spans="1:22" x14ac:dyDescent="0.3">
      <c r="A97" s="526"/>
      <c r="B97" s="33" t="s">
        <v>40</v>
      </c>
      <c r="C97" s="81" t="str">
        <f>IFERROR(SR_demand_forecast!C204*Historical_Cost!#REF!,"-")</f>
        <v>-</v>
      </c>
      <c r="D97" s="81" t="str">
        <f>IFERROR(SR_demand_forecast!D204*Historical_Cost!#REF!,"-")</f>
        <v>-</v>
      </c>
      <c r="E97" s="81" t="str">
        <f>IFERROR(SR_demand_forecast!E204*Historical_Cost!#REF!,"-")</f>
        <v>-</v>
      </c>
      <c r="F97" s="81" t="str">
        <f>IFERROR(SR_demand_forecast!F204*Historical_Cost!#REF!,"-")</f>
        <v>-</v>
      </c>
      <c r="G97" s="81" t="str">
        <f>IFERROR(SR_demand_forecast!G204*Historical_Cost!#REF!,"-")</f>
        <v>-</v>
      </c>
      <c r="H97" s="81" t="str">
        <f>IFERROR(SR_demand_forecast!H204*Historical_Cost!#REF!,"-")</f>
        <v>-</v>
      </c>
      <c r="I97" s="81" t="str">
        <f>IFERROR(SR_demand_forecast!I204*Historical_Cost!#REF!,"-")</f>
        <v>-</v>
      </c>
      <c r="J97" s="81" t="str">
        <f>IFERROR(SR_demand_forecast!J204*Historical_Cost!#REF!,"-")</f>
        <v>-</v>
      </c>
      <c r="K97" s="81" t="str">
        <f>IFERROR(SR_demand_forecast!K204*Historical_Cost!#REF!,"-")</f>
        <v>-</v>
      </c>
      <c r="L97" s="81" t="str">
        <f>IFERROR(SR_demand_forecast!L204*Historical_Cost!#REF!,"-")</f>
        <v>-</v>
      </c>
      <c r="M97" s="81" t="str">
        <f>IFERROR(SR_demand_forecast!M204*Historical_Cost!#REF!,"-")</f>
        <v>-</v>
      </c>
      <c r="N97" s="81" t="str">
        <f>IFERROR(SR_demand_forecast!N204*Historical_Cost!#REF!,"-")</f>
        <v>-</v>
      </c>
      <c r="O97" s="81" t="str">
        <f>IFERROR(SR_demand_forecast!O204*Historical_Cost!#REF!,"-")</f>
        <v>-</v>
      </c>
      <c r="P97" s="81" t="str">
        <f>IFERROR(SR_demand_forecast!P204*Historical_Cost!#REF!,"-")</f>
        <v>-</v>
      </c>
      <c r="Q97" s="81" t="str">
        <f>IFERROR(SR_demand_forecast!Q204*Historical_Cost!#REF!,"-")</f>
        <v>-</v>
      </c>
      <c r="R97" s="81" t="str">
        <f>IFERROR(SR_demand_forecast!R204*Historical_Cost!#REF!,"-")</f>
        <v>-</v>
      </c>
      <c r="S97" s="81" t="str">
        <f>IFERROR(SR_demand_forecast!S204*Historical_Cost!#REF!,"-")</f>
        <v>-</v>
      </c>
      <c r="T97" s="81" t="str">
        <f>IFERROR(SR_demand_forecast!T204*Historical_Cost!#REF!,"-")</f>
        <v>-</v>
      </c>
      <c r="U97" s="81" t="str">
        <f>IFERROR(SR_demand_forecast!U204*Historical_Cost!#REF!,"-")</f>
        <v>-</v>
      </c>
      <c r="V97" s="81" t="str">
        <f>IFERROR(SR_demand_forecast!V204*Historical_Cost!#REF!,"-")</f>
        <v>-</v>
      </c>
    </row>
    <row r="98" spans="1:22" x14ac:dyDescent="0.3">
      <c r="A98" s="526"/>
      <c r="B98" s="33" t="s">
        <v>80</v>
      </c>
      <c r="C98" s="81" t="str">
        <f>IFERROR(SR_demand_forecast!C205*Historical_Cost!#REF!,"-")</f>
        <v>-</v>
      </c>
      <c r="D98" s="81" t="str">
        <f>IFERROR(SR_demand_forecast!D205*Historical_Cost!#REF!,"-")</f>
        <v>-</v>
      </c>
      <c r="E98" s="81" t="str">
        <f>IFERROR(SR_demand_forecast!E205*Historical_Cost!#REF!,"-")</f>
        <v>-</v>
      </c>
      <c r="F98" s="81" t="str">
        <f>IFERROR(SR_demand_forecast!F205*Historical_Cost!#REF!,"-")</f>
        <v>-</v>
      </c>
      <c r="G98" s="81" t="str">
        <f>IFERROR(SR_demand_forecast!G205*Historical_Cost!#REF!,"-")</f>
        <v>-</v>
      </c>
      <c r="H98" s="81" t="str">
        <f>IFERROR(SR_demand_forecast!H205*Historical_Cost!#REF!,"-")</f>
        <v>-</v>
      </c>
      <c r="I98" s="81" t="str">
        <f>IFERROR(SR_demand_forecast!I205*Historical_Cost!#REF!,"-")</f>
        <v>-</v>
      </c>
      <c r="J98" s="81" t="str">
        <f>IFERROR(SR_demand_forecast!J205*Historical_Cost!#REF!,"-")</f>
        <v>-</v>
      </c>
      <c r="K98" s="81" t="str">
        <f>IFERROR(SR_demand_forecast!K205*Historical_Cost!#REF!,"-")</f>
        <v>-</v>
      </c>
      <c r="L98" s="81" t="str">
        <f>IFERROR(SR_demand_forecast!L205*Historical_Cost!#REF!,"-")</f>
        <v>-</v>
      </c>
      <c r="M98" s="81" t="str">
        <f>IFERROR(SR_demand_forecast!M205*Historical_Cost!#REF!,"-")</f>
        <v>-</v>
      </c>
      <c r="N98" s="81" t="str">
        <f>IFERROR(SR_demand_forecast!N205*Historical_Cost!#REF!,"-")</f>
        <v>-</v>
      </c>
      <c r="O98" s="81" t="str">
        <f>IFERROR(SR_demand_forecast!O205*Historical_Cost!#REF!,"-")</f>
        <v>-</v>
      </c>
      <c r="P98" s="81" t="str">
        <f>IFERROR(SR_demand_forecast!P205*Historical_Cost!#REF!,"-")</f>
        <v>-</v>
      </c>
      <c r="Q98" s="81" t="str">
        <f>IFERROR(SR_demand_forecast!Q205*Historical_Cost!#REF!,"-")</f>
        <v>-</v>
      </c>
      <c r="R98" s="81" t="str">
        <f>IFERROR(SR_demand_forecast!R205*Historical_Cost!#REF!,"-")</f>
        <v>-</v>
      </c>
      <c r="S98" s="81" t="str">
        <f>IFERROR(SR_demand_forecast!S205*Historical_Cost!#REF!,"-")</f>
        <v>-</v>
      </c>
      <c r="T98" s="81" t="str">
        <f>IFERROR(SR_demand_forecast!T205*Historical_Cost!#REF!,"-")</f>
        <v>-</v>
      </c>
      <c r="U98" s="81" t="str">
        <f>IFERROR(SR_demand_forecast!U205*Historical_Cost!#REF!,"-")</f>
        <v>-</v>
      </c>
      <c r="V98" s="81" t="str">
        <f>IFERROR(SR_demand_forecast!V205*Historical_Cost!#REF!,"-")</f>
        <v>-</v>
      </c>
    </row>
    <row r="99" spans="1:22" x14ac:dyDescent="0.3">
      <c r="A99" s="526"/>
      <c r="B99" s="33" t="s">
        <v>44</v>
      </c>
      <c r="C99" s="81" t="str">
        <f>IFERROR(SR_demand_forecast!C206*Historical_Cost!#REF!,"-")</f>
        <v>-</v>
      </c>
      <c r="D99" s="81" t="str">
        <f>IFERROR(SR_demand_forecast!D206*Historical_Cost!#REF!,"-")</f>
        <v>-</v>
      </c>
      <c r="E99" s="81" t="str">
        <f>IFERROR(SR_demand_forecast!E206*Historical_Cost!#REF!,"-")</f>
        <v>-</v>
      </c>
      <c r="F99" s="81" t="str">
        <f>IFERROR(SR_demand_forecast!F206*Historical_Cost!#REF!,"-")</f>
        <v>-</v>
      </c>
      <c r="G99" s="81" t="str">
        <f>IFERROR(SR_demand_forecast!G206*Historical_Cost!#REF!,"-")</f>
        <v>-</v>
      </c>
      <c r="H99" s="81" t="str">
        <f>IFERROR(SR_demand_forecast!H206*Historical_Cost!#REF!,"-")</f>
        <v>-</v>
      </c>
      <c r="I99" s="81" t="str">
        <f>IFERROR(SR_demand_forecast!I206*Historical_Cost!#REF!,"-")</f>
        <v>-</v>
      </c>
      <c r="J99" s="81" t="str">
        <f>IFERROR(SR_demand_forecast!J206*Historical_Cost!#REF!,"-")</f>
        <v>-</v>
      </c>
      <c r="K99" s="81" t="str">
        <f>IFERROR(SR_demand_forecast!K206*Historical_Cost!#REF!,"-")</f>
        <v>-</v>
      </c>
      <c r="L99" s="81" t="str">
        <f>IFERROR(SR_demand_forecast!L206*Historical_Cost!#REF!,"-")</f>
        <v>-</v>
      </c>
      <c r="M99" s="81" t="str">
        <f>IFERROR(SR_demand_forecast!M206*Historical_Cost!#REF!,"-")</f>
        <v>-</v>
      </c>
      <c r="N99" s="81" t="str">
        <f>IFERROR(SR_demand_forecast!N206*Historical_Cost!#REF!,"-")</f>
        <v>-</v>
      </c>
      <c r="O99" s="81" t="str">
        <f>IFERROR(SR_demand_forecast!O206*Historical_Cost!#REF!,"-")</f>
        <v>-</v>
      </c>
      <c r="P99" s="81" t="str">
        <f>IFERROR(SR_demand_forecast!P206*Historical_Cost!#REF!,"-")</f>
        <v>-</v>
      </c>
      <c r="Q99" s="81" t="str">
        <f>IFERROR(SR_demand_forecast!Q206*Historical_Cost!#REF!,"-")</f>
        <v>-</v>
      </c>
      <c r="R99" s="81" t="str">
        <f>IFERROR(SR_demand_forecast!R206*Historical_Cost!#REF!,"-")</f>
        <v>-</v>
      </c>
      <c r="S99" s="81" t="str">
        <f>IFERROR(SR_demand_forecast!S206*Historical_Cost!#REF!,"-")</f>
        <v>-</v>
      </c>
      <c r="T99" s="81" t="str">
        <f>IFERROR(SR_demand_forecast!T206*Historical_Cost!#REF!,"-")</f>
        <v>-</v>
      </c>
      <c r="U99" s="81" t="str">
        <f>IFERROR(SR_demand_forecast!U206*Historical_Cost!#REF!,"-")</f>
        <v>-</v>
      </c>
      <c r="V99" s="81" t="str">
        <f>IFERROR(SR_demand_forecast!V206*Historical_Cost!#REF!,"-")</f>
        <v>-</v>
      </c>
    </row>
    <row r="100" spans="1:22" x14ac:dyDescent="0.3">
      <c r="A100" s="526"/>
      <c r="B100" s="33" t="s">
        <v>81</v>
      </c>
      <c r="C100" s="81" t="str">
        <f>IFERROR(SR_demand_forecast!C207*Historical_Cost!#REF!,"-")</f>
        <v>-</v>
      </c>
      <c r="D100" s="81" t="str">
        <f>IFERROR(SR_demand_forecast!D207*Historical_Cost!#REF!,"-")</f>
        <v>-</v>
      </c>
      <c r="E100" s="81" t="str">
        <f>IFERROR(SR_demand_forecast!E207*Historical_Cost!#REF!,"-")</f>
        <v>-</v>
      </c>
      <c r="F100" s="81" t="str">
        <f>IFERROR(SR_demand_forecast!F207*Historical_Cost!#REF!,"-")</f>
        <v>-</v>
      </c>
      <c r="G100" s="81" t="str">
        <f>IFERROR(SR_demand_forecast!G207*Historical_Cost!#REF!,"-")</f>
        <v>-</v>
      </c>
      <c r="H100" s="81" t="str">
        <f>IFERROR(SR_demand_forecast!H207*Historical_Cost!#REF!,"-")</f>
        <v>-</v>
      </c>
      <c r="I100" s="81" t="str">
        <f>IFERROR(SR_demand_forecast!I207*Historical_Cost!#REF!,"-")</f>
        <v>-</v>
      </c>
      <c r="J100" s="81" t="str">
        <f>IFERROR(SR_demand_forecast!J207*Historical_Cost!#REF!,"-")</f>
        <v>-</v>
      </c>
      <c r="K100" s="81" t="str">
        <f>IFERROR(SR_demand_forecast!K207*Historical_Cost!#REF!,"-")</f>
        <v>-</v>
      </c>
      <c r="L100" s="81" t="str">
        <f>IFERROR(SR_demand_forecast!L207*Historical_Cost!#REF!,"-")</f>
        <v>-</v>
      </c>
      <c r="M100" s="81" t="str">
        <f>IFERROR(SR_demand_forecast!M207*Historical_Cost!#REF!,"-")</f>
        <v>-</v>
      </c>
      <c r="N100" s="81" t="str">
        <f>IFERROR(SR_demand_forecast!N207*Historical_Cost!#REF!,"-")</f>
        <v>-</v>
      </c>
      <c r="O100" s="81" t="str">
        <f>IFERROR(SR_demand_forecast!O207*Historical_Cost!#REF!,"-")</f>
        <v>-</v>
      </c>
      <c r="P100" s="81" t="str">
        <f>IFERROR(SR_demand_forecast!P207*Historical_Cost!#REF!,"-")</f>
        <v>-</v>
      </c>
      <c r="Q100" s="81" t="str">
        <f>IFERROR(SR_demand_forecast!Q207*Historical_Cost!#REF!,"-")</f>
        <v>-</v>
      </c>
      <c r="R100" s="81" t="str">
        <f>IFERROR(SR_demand_forecast!R207*Historical_Cost!#REF!,"-")</f>
        <v>-</v>
      </c>
      <c r="S100" s="81" t="str">
        <f>IFERROR(SR_demand_forecast!S207*Historical_Cost!#REF!,"-")</f>
        <v>-</v>
      </c>
      <c r="T100" s="81" t="str">
        <f>IFERROR(SR_demand_forecast!T207*Historical_Cost!#REF!,"-")</f>
        <v>-</v>
      </c>
      <c r="U100" s="81" t="str">
        <f>IFERROR(SR_demand_forecast!U207*Historical_Cost!#REF!,"-")</f>
        <v>-</v>
      </c>
      <c r="V100" s="81" t="str">
        <f>IFERROR(SR_demand_forecast!V207*Historical_Cost!#REF!,"-")</f>
        <v>-</v>
      </c>
    </row>
    <row r="101" spans="1:22" x14ac:dyDescent="0.3">
      <c r="A101" s="526"/>
      <c r="B101" s="33" t="s">
        <v>42</v>
      </c>
      <c r="C101" s="81" t="str">
        <f>IFERROR(SR_demand_forecast!C208*Historical_Cost!#REF!,"-")</f>
        <v>-</v>
      </c>
      <c r="D101" s="81" t="str">
        <f>IFERROR(SR_demand_forecast!D208*Historical_Cost!#REF!,"-")</f>
        <v>-</v>
      </c>
      <c r="E101" s="81" t="str">
        <f>IFERROR(SR_demand_forecast!E208*Historical_Cost!#REF!,"-")</f>
        <v>-</v>
      </c>
      <c r="F101" s="81" t="str">
        <f>IFERROR(SR_demand_forecast!F208*Historical_Cost!#REF!,"-")</f>
        <v>-</v>
      </c>
      <c r="G101" s="81" t="str">
        <f>IFERROR(SR_demand_forecast!G208*Historical_Cost!#REF!,"-")</f>
        <v>-</v>
      </c>
      <c r="H101" s="81" t="str">
        <f>IFERROR(SR_demand_forecast!H208*Historical_Cost!#REF!,"-")</f>
        <v>-</v>
      </c>
      <c r="I101" s="81" t="str">
        <f>IFERROR(SR_demand_forecast!I208*Historical_Cost!#REF!,"-")</f>
        <v>-</v>
      </c>
      <c r="J101" s="81" t="str">
        <f>IFERROR(SR_demand_forecast!J208*Historical_Cost!#REF!,"-")</f>
        <v>-</v>
      </c>
      <c r="K101" s="81" t="str">
        <f>IFERROR(SR_demand_forecast!K208*Historical_Cost!#REF!,"-")</f>
        <v>-</v>
      </c>
      <c r="L101" s="81" t="str">
        <f>IFERROR(SR_demand_forecast!L208*Historical_Cost!#REF!,"-")</f>
        <v>-</v>
      </c>
      <c r="M101" s="81" t="str">
        <f>IFERROR(SR_demand_forecast!M208*Historical_Cost!#REF!,"-")</f>
        <v>-</v>
      </c>
      <c r="N101" s="81" t="str">
        <f>IFERROR(SR_demand_forecast!N208*Historical_Cost!#REF!,"-")</f>
        <v>-</v>
      </c>
      <c r="O101" s="81" t="str">
        <f>IFERROR(SR_demand_forecast!O208*Historical_Cost!#REF!,"-")</f>
        <v>-</v>
      </c>
      <c r="P101" s="81" t="str">
        <f>IFERROR(SR_demand_forecast!P208*Historical_Cost!#REF!,"-")</f>
        <v>-</v>
      </c>
      <c r="Q101" s="81" t="str">
        <f>IFERROR(SR_demand_forecast!Q208*Historical_Cost!#REF!,"-")</f>
        <v>-</v>
      </c>
      <c r="R101" s="81" t="str">
        <f>IFERROR(SR_demand_forecast!R208*Historical_Cost!#REF!,"-")</f>
        <v>-</v>
      </c>
      <c r="S101" s="81" t="str">
        <f>IFERROR(SR_demand_forecast!S208*Historical_Cost!#REF!,"-")</f>
        <v>-</v>
      </c>
      <c r="T101" s="81" t="str">
        <f>IFERROR(SR_demand_forecast!T208*Historical_Cost!#REF!,"-")</f>
        <v>-</v>
      </c>
      <c r="U101" s="81" t="str">
        <f>IFERROR(SR_demand_forecast!U208*Historical_Cost!#REF!,"-")</f>
        <v>-</v>
      </c>
      <c r="V101" s="81" t="str">
        <f>IFERROR(SR_demand_forecast!V208*Historical_Cost!#REF!,"-")</f>
        <v>-</v>
      </c>
    </row>
    <row r="102" spans="1:22" x14ac:dyDescent="0.3">
      <c r="A102" s="526"/>
      <c r="B102" s="33" t="s">
        <v>45</v>
      </c>
      <c r="C102" s="81" t="str">
        <f>IFERROR(SR_demand_forecast!C209*Historical_Cost!#REF!,"-")</f>
        <v>-</v>
      </c>
      <c r="D102" s="81" t="str">
        <f>IFERROR(SR_demand_forecast!D209*Historical_Cost!#REF!,"-")</f>
        <v>-</v>
      </c>
      <c r="E102" s="81" t="str">
        <f>IFERROR(SR_demand_forecast!E209*Historical_Cost!#REF!,"-")</f>
        <v>-</v>
      </c>
      <c r="F102" s="81" t="str">
        <f>IFERROR(SR_demand_forecast!F209*Historical_Cost!#REF!,"-")</f>
        <v>-</v>
      </c>
      <c r="G102" s="81" t="str">
        <f>IFERROR(SR_demand_forecast!G209*Historical_Cost!#REF!,"-")</f>
        <v>-</v>
      </c>
      <c r="H102" s="81" t="str">
        <f>IFERROR(SR_demand_forecast!H209*Historical_Cost!#REF!,"-")</f>
        <v>-</v>
      </c>
      <c r="I102" s="81" t="str">
        <f>IFERROR(SR_demand_forecast!I209*Historical_Cost!#REF!,"-")</f>
        <v>-</v>
      </c>
      <c r="J102" s="81" t="str">
        <f>IFERROR(SR_demand_forecast!J209*Historical_Cost!#REF!,"-")</f>
        <v>-</v>
      </c>
      <c r="K102" s="81" t="str">
        <f>IFERROR(SR_demand_forecast!K209*Historical_Cost!#REF!,"-")</f>
        <v>-</v>
      </c>
      <c r="L102" s="81" t="str">
        <f>IFERROR(SR_demand_forecast!L209*Historical_Cost!#REF!,"-")</f>
        <v>-</v>
      </c>
      <c r="M102" s="81" t="str">
        <f>IFERROR(SR_demand_forecast!M209*Historical_Cost!#REF!,"-")</f>
        <v>-</v>
      </c>
      <c r="N102" s="81" t="str">
        <f>IFERROR(SR_demand_forecast!N209*Historical_Cost!#REF!,"-")</f>
        <v>-</v>
      </c>
      <c r="O102" s="81" t="str">
        <f>IFERROR(SR_demand_forecast!O209*Historical_Cost!#REF!,"-")</f>
        <v>-</v>
      </c>
      <c r="P102" s="81" t="str">
        <f>IFERROR(SR_demand_forecast!P209*Historical_Cost!#REF!,"-")</f>
        <v>-</v>
      </c>
      <c r="Q102" s="81" t="str">
        <f>IFERROR(SR_demand_forecast!Q209*Historical_Cost!#REF!,"-")</f>
        <v>-</v>
      </c>
      <c r="R102" s="81" t="str">
        <f>IFERROR(SR_demand_forecast!R209*Historical_Cost!#REF!,"-")</f>
        <v>-</v>
      </c>
      <c r="S102" s="81" t="str">
        <f>IFERROR(SR_demand_forecast!S209*Historical_Cost!#REF!,"-")</f>
        <v>-</v>
      </c>
      <c r="T102" s="81" t="str">
        <f>IFERROR(SR_demand_forecast!T209*Historical_Cost!#REF!,"-")</f>
        <v>-</v>
      </c>
      <c r="U102" s="81" t="str">
        <f>IFERROR(SR_demand_forecast!U209*Historical_Cost!#REF!,"-")</f>
        <v>-</v>
      </c>
      <c r="V102" s="81" t="str">
        <f>IFERROR(SR_demand_forecast!V209*Historical_Cost!#REF!,"-")</f>
        <v>-</v>
      </c>
    </row>
    <row r="103" spans="1:22" x14ac:dyDescent="0.3">
      <c r="A103" s="526"/>
      <c r="B103" s="33" t="s">
        <v>84</v>
      </c>
      <c r="C103" s="128">
        <f t="shared" ref="C103:V103" si="5">SUM(C95:C102)</f>
        <v>0</v>
      </c>
      <c r="D103" s="128">
        <f t="shared" si="5"/>
        <v>0</v>
      </c>
      <c r="E103" s="128">
        <f t="shared" si="5"/>
        <v>0</v>
      </c>
      <c r="F103" s="128">
        <f t="shared" si="5"/>
        <v>0</v>
      </c>
      <c r="G103" s="128">
        <f t="shared" si="5"/>
        <v>0</v>
      </c>
      <c r="H103" s="128">
        <f t="shared" si="5"/>
        <v>0</v>
      </c>
      <c r="I103" s="128">
        <f t="shared" si="5"/>
        <v>0</v>
      </c>
      <c r="J103" s="128">
        <f t="shared" si="5"/>
        <v>0</v>
      </c>
      <c r="K103" s="128">
        <f t="shared" si="5"/>
        <v>0</v>
      </c>
      <c r="L103" s="128">
        <f t="shared" si="5"/>
        <v>0</v>
      </c>
      <c r="M103" s="128">
        <f t="shared" si="5"/>
        <v>0</v>
      </c>
      <c r="N103" s="128">
        <f t="shared" si="5"/>
        <v>0</v>
      </c>
      <c r="O103" s="128">
        <f t="shared" si="5"/>
        <v>0</v>
      </c>
      <c r="P103" s="128">
        <f t="shared" si="5"/>
        <v>0</v>
      </c>
      <c r="Q103" s="128">
        <f t="shared" si="5"/>
        <v>0</v>
      </c>
      <c r="R103" s="128">
        <f t="shared" si="5"/>
        <v>0</v>
      </c>
      <c r="S103" s="128">
        <f t="shared" si="5"/>
        <v>0</v>
      </c>
      <c r="T103" s="128">
        <f t="shared" si="5"/>
        <v>0</v>
      </c>
      <c r="U103" s="128">
        <f t="shared" si="5"/>
        <v>0</v>
      </c>
      <c r="V103" s="128">
        <f t="shared" si="5"/>
        <v>0</v>
      </c>
    </row>
    <row r="104" spans="1:22" x14ac:dyDescent="0.3">
      <c r="A104" s="526"/>
    </row>
    <row r="105" spans="1:22" x14ac:dyDescent="0.3">
      <c r="A105" s="526"/>
    </row>
    <row r="106" spans="1:22" x14ac:dyDescent="0.3">
      <c r="A106" s="526"/>
    </row>
    <row r="107" spans="1:22" x14ac:dyDescent="0.3">
      <c r="A107" s="526"/>
    </row>
    <row r="108" spans="1:22" x14ac:dyDescent="0.3">
      <c r="A108" s="526"/>
    </row>
    <row r="109" spans="1:22" x14ac:dyDescent="0.3">
      <c r="A109" s="526"/>
    </row>
    <row r="110" spans="1:22" x14ac:dyDescent="0.3">
      <c r="A110" s="526"/>
    </row>
    <row r="111" spans="1:22" x14ac:dyDescent="0.3">
      <c r="A111" s="526"/>
    </row>
    <row r="112" spans="1:22" x14ac:dyDescent="0.3">
      <c r="A112" s="526"/>
    </row>
    <row r="113" spans="1:22" x14ac:dyDescent="0.3">
      <c r="A113" s="525">
        <v>0.6</v>
      </c>
      <c r="B113" s="35" t="s">
        <v>162</v>
      </c>
      <c r="L113" s="20"/>
      <c r="M113" s="20"/>
    </row>
    <row r="114" spans="1:22" x14ac:dyDescent="0.3">
      <c r="A114" s="526"/>
      <c r="B114" s="78" t="s">
        <v>82</v>
      </c>
      <c r="C114" s="78">
        <v>2021</v>
      </c>
      <c r="D114" s="79">
        <v>2022</v>
      </c>
      <c r="E114" s="78">
        <v>2023</v>
      </c>
      <c r="F114" s="79">
        <v>2024</v>
      </c>
      <c r="G114" s="78">
        <v>2025</v>
      </c>
      <c r="H114" s="79">
        <v>2026</v>
      </c>
      <c r="I114" s="78">
        <v>2027</v>
      </c>
      <c r="J114" s="79">
        <v>2028</v>
      </c>
      <c r="K114" s="78">
        <v>2029</v>
      </c>
      <c r="L114" s="79">
        <v>2030</v>
      </c>
      <c r="M114" s="78">
        <v>2031</v>
      </c>
      <c r="N114" s="79">
        <v>2032</v>
      </c>
      <c r="O114" s="78">
        <v>2033</v>
      </c>
      <c r="P114" s="79">
        <v>2034</v>
      </c>
      <c r="Q114" s="78">
        <v>2035</v>
      </c>
      <c r="R114" s="79">
        <v>2036</v>
      </c>
      <c r="S114" s="78">
        <v>2037</v>
      </c>
      <c r="T114" s="79">
        <v>2038</v>
      </c>
      <c r="U114" s="78">
        <v>2039</v>
      </c>
      <c r="V114" s="79">
        <v>2040</v>
      </c>
    </row>
    <row r="115" spans="1:22" x14ac:dyDescent="0.3">
      <c r="A115" s="526"/>
      <c r="B115" s="33" t="s">
        <v>43</v>
      </c>
      <c r="C115" s="81" t="str">
        <f>IFERROR(SR_demand_forecast!C56*Historical_Cost!#REF!,"-")</f>
        <v>-</v>
      </c>
      <c r="D115" s="81" t="str">
        <f>IFERROR(SR_demand_forecast!D56*Historical_Cost!#REF!,"-")</f>
        <v>-</v>
      </c>
      <c r="E115" s="81" t="str">
        <f>IFERROR(SR_demand_forecast!E56*Historical_Cost!#REF!,"-")</f>
        <v>-</v>
      </c>
      <c r="F115" s="81" t="str">
        <f>IFERROR(SR_demand_forecast!F56*Historical_Cost!#REF!,"-")</f>
        <v>-</v>
      </c>
      <c r="G115" s="81" t="str">
        <f>IFERROR(SR_demand_forecast!G56*Historical_Cost!#REF!,"-")</f>
        <v>-</v>
      </c>
      <c r="H115" s="81" t="str">
        <f>IFERROR(SR_demand_forecast!H56*Historical_Cost!#REF!,"-")</f>
        <v>-</v>
      </c>
      <c r="I115" s="81" t="str">
        <f>IFERROR(SR_demand_forecast!I56*Historical_Cost!#REF!,"-")</f>
        <v>-</v>
      </c>
      <c r="J115" s="81" t="str">
        <f>IFERROR(SR_demand_forecast!J56*Historical_Cost!#REF!,"-")</f>
        <v>-</v>
      </c>
      <c r="K115" s="81" t="str">
        <f>IFERROR(SR_demand_forecast!K56*Historical_Cost!#REF!,"-")</f>
        <v>-</v>
      </c>
      <c r="L115" s="81" t="str">
        <f>IFERROR(SR_demand_forecast!L56*Historical_Cost!#REF!,"-")</f>
        <v>-</v>
      </c>
      <c r="M115" s="81" t="str">
        <f>IFERROR(SR_demand_forecast!M56*Historical_Cost!#REF!,"-")</f>
        <v>-</v>
      </c>
      <c r="N115" s="81" t="str">
        <f>IFERROR(SR_demand_forecast!N56*Historical_Cost!#REF!,"-")</f>
        <v>-</v>
      </c>
      <c r="O115" s="81" t="str">
        <f>IFERROR(SR_demand_forecast!O56*Historical_Cost!#REF!,"-")</f>
        <v>-</v>
      </c>
      <c r="P115" s="81" t="str">
        <f>IFERROR(SR_demand_forecast!P56*Historical_Cost!#REF!,"-")</f>
        <v>-</v>
      </c>
      <c r="Q115" s="81" t="str">
        <f>IFERROR(SR_demand_forecast!Q56*Historical_Cost!#REF!,"-")</f>
        <v>-</v>
      </c>
      <c r="R115" s="81" t="str">
        <f>IFERROR(SR_demand_forecast!R56*Historical_Cost!#REF!,"-")</f>
        <v>-</v>
      </c>
      <c r="S115" s="81" t="str">
        <f>IFERROR(SR_demand_forecast!S56*Historical_Cost!#REF!,"-")</f>
        <v>-</v>
      </c>
      <c r="T115" s="81" t="str">
        <f>IFERROR(SR_demand_forecast!T56*Historical_Cost!#REF!,"-")</f>
        <v>-</v>
      </c>
      <c r="U115" s="81" t="str">
        <f>IFERROR(SR_demand_forecast!U56*Historical_Cost!#REF!,"-")</f>
        <v>-</v>
      </c>
      <c r="V115" s="81" t="str">
        <f>IFERROR(SR_demand_forecast!V56*Historical_Cost!#REF!,"-")</f>
        <v>-</v>
      </c>
    </row>
    <row r="116" spans="1:22" x14ac:dyDescent="0.3">
      <c r="A116" s="526"/>
      <c r="B116" s="33" t="s">
        <v>41</v>
      </c>
      <c r="C116" s="81" t="str">
        <f>IFERROR(SR_demand_forecast!C57*Historical_Cost!#REF!,"-")</f>
        <v>-</v>
      </c>
      <c r="D116" s="81" t="str">
        <f>IFERROR(SR_demand_forecast!D57*Historical_Cost!#REF!,"-")</f>
        <v>-</v>
      </c>
      <c r="E116" s="81" t="str">
        <f>IFERROR(SR_demand_forecast!E57*Historical_Cost!#REF!,"-")</f>
        <v>-</v>
      </c>
      <c r="F116" s="81" t="str">
        <f>IFERROR(SR_demand_forecast!F57*Historical_Cost!#REF!,"-")</f>
        <v>-</v>
      </c>
      <c r="G116" s="81" t="str">
        <f>IFERROR(SR_demand_forecast!G57*Historical_Cost!#REF!,"-")</f>
        <v>-</v>
      </c>
      <c r="H116" s="81" t="str">
        <f>IFERROR(SR_demand_forecast!H57*Historical_Cost!#REF!,"-")</f>
        <v>-</v>
      </c>
      <c r="I116" s="81" t="str">
        <f>IFERROR(SR_demand_forecast!I57*Historical_Cost!#REF!,"-")</f>
        <v>-</v>
      </c>
      <c r="J116" s="81" t="str">
        <f>IFERROR(SR_demand_forecast!J57*Historical_Cost!#REF!,"-")</f>
        <v>-</v>
      </c>
      <c r="K116" s="81" t="str">
        <f>IFERROR(SR_demand_forecast!K57*Historical_Cost!#REF!,"-")</f>
        <v>-</v>
      </c>
      <c r="L116" s="81" t="str">
        <f>IFERROR(SR_demand_forecast!L57*Historical_Cost!#REF!,"-")</f>
        <v>-</v>
      </c>
      <c r="M116" s="81" t="str">
        <f>IFERROR(SR_demand_forecast!M57*Historical_Cost!#REF!,"-")</f>
        <v>-</v>
      </c>
      <c r="N116" s="81" t="str">
        <f>IFERROR(SR_demand_forecast!N57*Historical_Cost!#REF!,"-")</f>
        <v>-</v>
      </c>
      <c r="O116" s="81" t="str">
        <f>IFERROR(SR_demand_forecast!O57*Historical_Cost!#REF!,"-")</f>
        <v>-</v>
      </c>
      <c r="P116" s="81" t="str">
        <f>IFERROR(SR_demand_forecast!P57*Historical_Cost!#REF!,"-")</f>
        <v>-</v>
      </c>
      <c r="Q116" s="81" t="str">
        <f>IFERROR(SR_demand_forecast!Q57*Historical_Cost!#REF!,"-")</f>
        <v>-</v>
      </c>
      <c r="R116" s="81" t="str">
        <f>IFERROR(SR_demand_forecast!R57*Historical_Cost!#REF!,"-")</f>
        <v>-</v>
      </c>
      <c r="S116" s="81" t="str">
        <f>IFERROR(SR_demand_forecast!S57*Historical_Cost!#REF!,"-")</f>
        <v>-</v>
      </c>
      <c r="T116" s="81" t="str">
        <f>IFERROR(SR_demand_forecast!T57*Historical_Cost!#REF!,"-")</f>
        <v>-</v>
      </c>
      <c r="U116" s="81" t="str">
        <f>IFERROR(SR_demand_forecast!U57*Historical_Cost!#REF!,"-")</f>
        <v>-</v>
      </c>
      <c r="V116" s="81" t="str">
        <f>IFERROR(SR_demand_forecast!V57*Historical_Cost!#REF!,"-")</f>
        <v>-</v>
      </c>
    </row>
    <row r="117" spans="1:22" x14ac:dyDescent="0.3">
      <c r="A117" s="526"/>
      <c r="B117" s="33" t="s">
        <v>40</v>
      </c>
      <c r="C117" s="81" t="str">
        <f>IFERROR(SR_demand_forecast!C58*Historical_Cost!#REF!,"-")</f>
        <v>-</v>
      </c>
      <c r="D117" s="81" t="str">
        <f>IFERROR(SR_demand_forecast!D58*Historical_Cost!#REF!,"-")</f>
        <v>-</v>
      </c>
      <c r="E117" s="81" t="str">
        <f>IFERROR(SR_demand_forecast!E58*Historical_Cost!#REF!,"-")</f>
        <v>-</v>
      </c>
      <c r="F117" s="81" t="str">
        <f>IFERROR(SR_demand_forecast!F58*Historical_Cost!#REF!,"-")</f>
        <v>-</v>
      </c>
      <c r="G117" s="81" t="str">
        <f>IFERROR(SR_demand_forecast!G58*Historical_Cost!#REF!,"-")</f>
        <v>-</v>
      </c>
      <c r="H117" s="81" t="str">
        <f>IFERROR(SR_demand_forecast!H58*Historical_Cost!#REF!,"-")</f>
        <v>-</v>
      </c>
      <c r="I117" s="81" t="str">
        <f>IFERROR(SR_demand_forecast!I58*Historical_Cost!#REF!,"-")</f>
        <v>-</v>
      </c>
      <c r="J117" s="81" t="str">
        <f>IFERROR(SR_demand_forecast!J58*Historical_Cost!#REF!,"-")</f>
        <v>-</v>
      </c>
      <c r="K117" s="81" t="str">
        <f>IFERROR(SR_demand_forecast!K58*Historical_Cost!#REF!,"-")</f>
        <v>-</v>
      </c>
      <c r="L117" s="81" t="str">
        <f>IFERROR(SR_demand_forecast!L58*Historical_Cost!#REF!,"-")</f>
        <v>-</v>
      </c>
      <c r="M117" s="81" t="str">
        <f>IFERROR(SR_demand_forecast!M58*Historical_Cost!#REF!,"-")</f>
        <v>-</v>
      </c>
      <c r="N117" s="81" t="str">
        <f>IFERROR(SR_demand_forecast!N58*Historical_Cost!#REF!,"-")</f>
        <v>-</v>
      </c>
      <c r="O117" s="81" t="str">
        <f>IFERROR(SR_demand_forecast!O58*Historical_Cost!#REF!,"-")</f>
        <v>-</v>
      </c>
      <c r="P117" s="81" t="str">
        <f>IFERROR(SR_demand_forecast!P58*Historical_Cost!#REF!,"-")</f>
        <v>-</v>
      </c>
      <c r="Q117" s="81" t="str">
        <f>IFERROR(SR_demand_forecast!Q58*Historical_Cost!#REF!,"-")</f>
        <v>-</v>
      </c>
      <c r="R117" s="81" t="str">
        <f>IFERROR(SR_demand_forecast!R58*Historical_Cost!#REF!,"-")</f>
        <v>-</v>
      </c>
      <c r="S117" s="81" t="str">
        <f>IFERROR(SR_demand_forecast!S58*Historical_Cost!#REF!,"-")</f>
        <v>-</v>
      </c>
      <c r="T117" s="81" t="str">
        <f>IFERROR(SR_demand_forecast!T58*Historical_Cost!#REF!,"-")</f>
        <v>-</v>
      </c>
      <c r="U117" s="81" t="str">
        <f>IFERROR(SR_demand_forecast!U58*Historical_Cost!#REF!,"-")</f>
        <v>-</v>
      </c>
      <c r="V117" s="81" t="str">
        <f>IFERROR(SR_demand_forecast!V58*Historical_Cost!#REF!,"-")</f>
        <v>-</v>
      </c>
    </row>
    <row r="118" spans="1:22" x14ac:dyDescent="0.3">
      <c r="A118" s="526"/>
      <c r="B118" s="33" t="s">
        <v>80</v>
      </c>
      <c r="C118" s="81" t="str">
        <f>IFERROR(SR_demand_forecast!C59*Historical_Cost!#REF!,"-")</f>
        <v>-</v>
      </c>
      <c r="D118" s="81" t="str">
        <f>IFERROR(SR_demand_forecast!D59*Historical_Cost!#REF!,"-")</f>
        <v>-</v>
      </c>
      <c r="E118" s="81" t="str">
        <f>IFERROR(SR_demand_forecast!E59*Historical_Cost!#REF!,"-")</f>
        <v>-</v>
      </c>
      <c r="F118" s="81" t="str">
        <f>IFERROR(SR_demand_forecast!F59*Historical_Cost!#REF!,"-")</f>
        <v>-</v>
      </c>
      <c r="G118" s="81" t="str">
        <f>IFERROR(SR_demand_forecast!G59*Historical_Cost!#REF!,"-")</f>
        <v>-</v>
      </c>
      <c r="H118" s="81" t="str">
        <f>IFERROR(SR_demand_forecast!H59*Historical_Cost!#REF!,"-")</f>
        <v>-</v>
      </c>
      <c r="I118" s="81" t="str">
        <f>IFERROR(SR_demand_forecast!I59*Historical_Cost!#REF!,"-")</f>
        <v>-</v>
      </c>
      <c r="J118" s="81" t="str">
        <f>IFERROR(SR_demand_forecast!J59*Historical_Cost!#REF!,"-")</f>
        <v>-</v>
      </c>
      <c r="K118" s="81" t="str">
        <f>IFERROR(SR_demand_forecast!K59*Historical_Cost!#REF!,"-")</f>
        <v>-</v>
      </c>
      <c r="L118" s="81" t="str">
        <f>IFERROR(SR_demand_forecast!L59*Historical_Cost!#REF!,"-")</f>
        <v>-</v>
      </c>
      <c r="M118" s="81" t="str">
        <f>IFERROR(SR_demand_forecast!M59*Historical_Cost!#REF!,"-")</f>
        <v>-</v>
      </c>
      <c r="N118" s="81" t="str">
        <f>IFERROR(SR_demand_forecast!N59*Historical_Cost!#REF!,"-")</f>
        <v>-</v>
      </c>
      <c r="O118" s="81" t="str">
        <f>IFERROR(SR_demand_forecast!O59*Historical_Cost!#REF!,"-")</f>
        <v>-</v>
      </c>
      <c r="P118" s="81" t="str">
        <f>IFERROR(SR_demand_forecast!P59*Historical_Cost!#REF!,"-")</f>
        <v>-</v>
      </c>
      <c r="Q118" s="81" t="str">
        <f>IFERROR(SR_demand_forecast!Q59*Historical_Cost!#REF!,"-")</f>
        <v>-</v>
      </c>
      <c r="R118" s="81" t="str">
        <f>IFERROR(SR_demand_forecast!R59*Historical_Cost!#REF!,"-")</f>
        <v>-</v>
      </c>
      <c r="S118" s="81" t="str">
        <f>IFERROR(SR_demand_forecast!S59*Historical_Cost!#REF!,"-")</f>
        <v>-</v>
      </c>
      <c r="T118" s="81" t="str">
        <f>IFERROR(SR_demand_forecast!T59*Historical_Cost!#REF!,"-")</f>
        <v>-</v>
      </c>
      <c r="U118" s="81" t="str">
        <f>IFERROR(SR_demand_forecast!U59*Historical_Cost!#REF!,"-")</f>
        <v>-</v>
      </c>
      <c r="V118" s="81" t="str">
        <f>IFERROR(SR_demand_forecast!V59*Historical_Cost!#REF!,"-")</f>
        <v>-</v>
      </c>
    </row>
    <row r="119" spans="1:22" x14ac:dyDescent="0.3">
      <c r="A119" s="526"/>
      <c r="B119" s="33" t="s">
        <v>44</v>
      </c>
      <c r="C119" s="81" t="str">
        <f>IFERROR(SR_demand_forecast!C60*Historical_Cost!#REF!,"-")</f>
        <v>-</v>
      </c>
      <c r="D119" s="81" t="str">
        <f>IFERROR(SR_demand_forecast!D60*Historical_Cost!#REF!,"-")</f>
        <v>-</v>
      </c>
      <c r="E119" s="81" t="str">
        <f>IFERROR(SR_demand_forecast!E60*Historical_Cost!#REF!,"-")</f>
        <v>-</v>
      </c>
      <c r="F119" s="81" t="str">
        <f>IFERROR(SR_demand_forecast!F60*Historical_Cost!#REF!,"-")</f>
        <v>-</v>
      </c>
      <c r="G119" s="81" t="str">
        <f>IFERROR(SR_demand_forecast!G60*Historical_Cost!#REF!,"-")</f>
        <v>-</v>
      </c>
      <c r="H119" s="81" t="str">
        <f>IFERROR(SR_demand_forecast!H60*Historical_Cost!#REF!,"-")</f>
        <v>-</v>
      </c>
      <c r="I119" s="81" t="str">
        <f>IFERROR(SR_demand_forecast!I60*Historical_Cost!#REF!,"-")</f>
        <v>-</v>
      </c>
      <c r="J119" s="81" t="str">
        <f>IFERROR(SR_demand_forecast!J60*Historical_Cost!#REF!,"-")</f>
        <v>-</v>
      </c>
      <c r="K119" s="81" t="str">
        <f>IFERROR(SR_demand_forecast!K60*Historical_Cost!#REF!,"-")</f>
        <v>-</v>
      </c>
      <c r="L119" s="81" t="str">
        <f>IFERROR(SR_demand_forecast!L60*Historical_Cost!#REF!,"-")</f>
        <v>-</v>
      </c>
      <c r="M119" s="81" t="str">
        <f>IFERROR(SR_demand_forecast!M60*Historical_Cost!#REF!,"-")</f>
        <v>-</v>
      </c>
      <c r="N119" s="81" t="str">
        <f>IFERROR(SR_demand_forecast!N60*Historical_Cost!#REF!,"-")</f>
        <v>-</v>
      </c>
      <c r="O119" s="81" t="str">
        <f>IFERROR(SR_demand_forecast!O60*Historical_Cost!#REF!,"-")</f>
        <v>-</v>
      </c>
      <c r="P119" s="81" t="str">
        <f>IFERROR(SR_demand_forecast!P60*Historical_Cost!#REF!,"-")</f>
        <v>-</v>
      </c>
      <c r="Q119" s="81" t="str">
        <f>IFERROR(SR_demand_forecast!Q60*Historical_Cost!#REF!,"-")</f>
        <v>-</v>
      </c>
      <c r="R119" s="81" t="str">
        <f>IFERROR(SR_demand_forecast!R60*Historical_Cost!#REF!,"-")</f>
        <v>-</v>
      </c>
      <c r="S119" s="81" t="str">
        <f>IFERROR(SR_demand_forecast!S60*Historical_Cost!#REF!,"-")</f>
        <v>-</v>
      </c>
      <c r="T119" s="81" t="str">
        <f>IFERROR(SR_demand_forecast!T60*Historical_Cost!#REF!,"-")</f>
        <v>-</v>
      </c>
      <c r="U119" s="81" t="str">
        <f>IFERROR(SR_demand_forecast!U60*Historical_Cost!#REF!,"-")</f>
        <v>-</v>
      </c>
      <c r="V119" s="81" t="str">
        <f>IFERROR(SR_demand_forecast!V60*Historical_Cost!#REF!,"-")</f>
        <v>-</v>
      </c>
    </row>
    <row r="120" spans="1:22" x14ac:dyDescent="0.3">
      <c r="A120" s="526"/>
      <c r="B120" s="33" t="s">
        <v>81</v>
      </c>
      <c r="C120" s="81" t="str">
        <f>IFERROR(SR_demand_forecast!C61*Historical_Cost!#REF!,"-")</f>
        <v>-</v>
      </c>
      <c r="D120" s="81" t="str">
        <f>IFERROR(SR_demand_forecast!D61*Historical_Cost!#REF!,"-")</f>
        <v>-</v>
      </c>
      <c r="E120" s="81" t="str">
        <f>IFERROR(SR_demand_forecast!E61*Historical_Cost!#REF!,"-")</f>
        <v>-</v>
      </c>
      <c r="F120" s="81" t="str">
        <f>IFERROR(SR_demand_forecast!F61*Historical_Cost!#REF!,"-")</f>
        <v>-</v>
      </c>
      <c r="G120" s="81" t="str">
        <f>IFERROR(SR_demand_forecast!G61*Historical_Cost!#REF!,"-")</f>
        <v>-</v>
      </c>
      <c r="H120" s="81" t="str">
        <f>IFERROR(SR_demand_forecast!H61*Historical_Cost!#REF!,"-")</f>
        <v>-</v>
      </c>
      <c r="I120" s="81" t="str">
        <f>IFERROR(SR_demand_forecast!I61*Historical_Cost!#REF!,"-")</f>
        <v>-</v>
      </c>
      <c r="J120" s="81" t="str">
        <f>IFERROR(SR_demand_forecast!J61*Historical_Cost!#REF!,"-")</f>
        <v>-</v>
      </c>
      <c r="K120" s="81" t="str">
        <f>IFERROR(SR_demand_forecast!K61*Historical_Cost!#REF!,"-")</f>
        <v>-</v>
      </c>
      <c r="L120" s="81" t="str">
        <f>IFERROR(SR_demand_forecast!L61*Historical_Cost!#REF!,"-")</f>
        <v>-</v>
      </c>
      <c r="M120" s="81" t="str">
        <f>IFERROR(SR_demand_forecast!M61*Historical_Cost!#REF!,"-")</f>
        <v>-</v>
      </c>
      <c r="N120" s="81" t="str">
        <f>IFERROR(SR_demand_forecast!N61*Historical_Cost!#REF!,"-")</f>
        <v>-</v>
      </c>
      <c r="O120" s="81" t="str">
        <f>IFERROR(SR_demand_forecast!O61*Historical_Cost!#REF!,"-")</f>
        <v>-</v>
      </c>
      <c r="P120" s="81" t="str">
        <f>IFERROR(SR_demand_forecast!P61*Historical_Cost!#REF!,"-")</f>
        <v>-</v>
      </c>
      <c r="Q120" s="81" t="str">
        <f>IFERROR(SR_demand_forecast!Q61*Historical_Cost!#REF!,"-")</f>
        <v>-</v>
      </c>
      <c r="R120" s="81" t="str">
        <f>IFERROR(SR_demand_forecast!R61*Historical_Cost!#REF!,"-")</f>
        <v>-</v>
      </c>
      <c r="S120" s="81" t="str">
        <f>IFERROR(SR_demand_forecast!S61*Historical_Cost!#REF!,"-")</f>
        <v>-</v>
      </c>
      <c r="T120" s="81" t="str">
        <f>IFERROR(SR_demand_forecast!T61*Historical_Cost!#REF!,"-")</f>
        <v>-</v>
      </c>
      <c r="U120" s="81" t="str">
        <f>IFERROR(SR_demand_forecast!U61*Historical_Cost!#REF!,"-")</f>
        <v>-</v>
      </c>
      <c r="V120" s="81" t="str">
        <f>IFERROR(SR_demand_forecast!V61*Historical_Cost!#REF!,"-")</f>
        <v>-</v>
      </c>
    </row>
    <row r="121" spans="1:22" x14ac:dyDescent="0.3">
      <c r="A121" s="526"/>
      <c r="B121" s="33" t="s">
        <v>42</v>
      </c>
      <c r="C121" s="81" t="str">
        <f>IFERROR(SR_demand_forecast!C62*Historical_Cost!#REF!,"-")</f>
        <v>-</v>
      </c>
      <c r="D121" s="81" t="str">
        <f>IFERROR(SR_demand_forecast!D62*Historical_Cost!#REF!,"-")</f>
        <v>-</v>
      </c>
      <c r="E121" s="81" t="str">
        <f>IFERROR(SR_demand_forecast!E62*Historical_Cost!#REF!,"-")</f>
        <v>-</v>
      </c>
      <c r="F121" s="81" t="str">
        <f>IFERROR(SR_demand_forecast!F62*Historical_Cost!#REF!,"-")</f>
        <v>-</v>
      </c>
      <c r="G121" s="81" t="str">
        <f>IFERROR(SR_demand_forecast!G62*Historical_Cost!#REF!,"-")</f>
        <v>-</v>
      </c>
      <c r="H121" s="81" t="str">
        <f>IFERROR(SR_demand_forecast!H62*Historical_Cost!#REF!,"-")</f>
        <v>-</v>
      </c>
      <c r="I121" s="81" t="str">
        <f>IFERROR(SR_demand_forecast!I62*Historical_Cost!#REF!,"-")</f>
        <v>-</v>
      </c>
      <c r="J121" s="81" t="str">
        <f>IFERROR(SR_demand_forecast!J62*Historical_Cost!#REF!,"-")</f>
        <v>-</v>
      </c>
      <c r="K121" s="81" t="str">
        <f>IFERROR(SR_demand_forecast!K62*Historical_Cost!#REF!,"-")</f>
        <v>-</v>
      </c>
      <c r="L121" s="81" t="str">
        <f>IFERROR(SR_demand_forecast!L62*Historical_Cost!#REF!,"-")</f>
        <v>-</v>
      </c>
      <c r="M121" s="81" t="str">
        <f>IFERROR(SR_demand_forecast!M62*Historical_Cost!#REF!,"-")</f>
        <v>-</v>
      </c>
      <c r="N121" s="81" t="str">
        <f>IFERROR(SR_demand_forecast!N62*Historical_Cost!#REF!,"-")</f>
        <v>-</v>
      </c>
      <c r="O121" s="81" t="str">
        <f>IFERROR(SR_demand_forecast!O62*Historical_Cost!#REF!,"-")</f>
        <v>-</v>
      </c>
      <c r="P121" s="81" t="str">
        <f>IFERROR(SR_demand_forecast!P62*Historical_Cost!#REF!,"-")</f>
        <v>-</v>
      </c>
      <c r="Q121" s="81" t="str">
        <f>IFERROR(SR_demand_forecast!Q62*Historical_Cost!#REF!,"-")</f>
        <v>-</v>
      </c>
      <c r="R121" s="81" t="str">
        <f>IFERROR(SR_demand_forecast!R62*Historical_Cost!#REF!,"-")</f>
        <v>-</v>
      </c>
      <c r="S121" s="81" t="str">
        <f>IFERROR(SR_demand_forecast!S62*Historical_Cost!#REF!,"-")</f>
        <v>-</v>
      </c>
      <c r="T121" s="81" t="str">
        <f>IFERROR(SR_demand_forecast!T62*Historical_Cost!#REF!,"-")</f>
        <v>-</v>
      </c>
      <c r="U121" s="81" t="str">
        <f>IFERROR(SR_demand_forecast!U62*Historical_Cost!#REF!,"-")</f>
        <v>-</v>
      </c>
      <c r="V121" s="81" t="str">
        <f>IFERROR(SR_demand_forecast!V62*Historical_Cost!#REF!,"-")</f>
        <v>-</v>
      </c>
    </row>
    <row r="122" spans="1:22" x14ac:dyDescent="0.3">
      <c r="A122" s="526"/>
      <c r="B122" s="33" t="s">
        <v>45</v>
      </c>
      <c r="C122" s="81" t="str">
        <f>IFERROR(SR_demand_forecast!C63*Historical_Cost!#REF!,"-")</f>
        <v>-</v>
      </c>
      <c r="D122" s="81" t="str">
        <f>IFERROR(SR_demand_forecast!D63*Historical_Cost!#REF!,"-")</f>
        <v>-</v>
      </c>
      <c r="E122" s="81" t="str">
        <f>IFERROR(SR_demand_forecast!E63*Historical_Cost!#REF!,"-")</f>
        <v>-</v>
      </c>
      <c r="F122" s="81" t="str">
        <f>IFERROR(SR_demand_forecast!F63*Historical_Cost!#REF!,"-")</f>
        <v>-</v>
      </c>
      <c r="G122" s="81" t="str">
        <f>IFERROR(SR_demand_forecast!G63*Historical_Cost!#REF!,"-")</f>
        <v>-</v>
      </c>
      <c r="H122" s="81" t="str">
        <f>IFERROR(SR_demand_forecast!H63*Historical_Cost!#REF!,"-")</f>
        <v>-</v>
      </c>
      <c r="I122" s="81" t="str">
        <f>IFERROR(SR_demand_forecast!I63*Historical_Cost!#REF!,"-")</f>
        <v>-</v>
      </c>
      <c r="J122" s="81" t="str">
        <f>IFERROR(SR_demand_forecast!J63*Historical_Cost!#REF!,"-")</f>
        <v>-</v>
      </c>
      <c r="K122" s="81" t="str">
        <f>IFERROR(SR_demand_forecast!K63*Historical_Cost!#REF!,"-")</f>
        <v>-</v>
      </c>
      <c r="L122" s="81" t="str">
        <f>IFERROR(SR_demand_forecast!L63*Historical_Cost!#REF!,"-")</f>
        <v>-</v>
      </c>
      <c r="M122" s="81" t="str">
        <f>IFERROR(SR_demand_forecast!M63*Historical_Cost!#REF!,"-")</f>
        <v>-</v>
      </c>
      <c r="N122" s="81" t="str">
        <f>IFERROR(SR_demand_forecast!N63*Historical_Cost!#REF!,"-")</f>
        <v>-</v>
      </c>
      <c r="O122" s="81" t="str">
        <f>IFERROR(SR_demand_forecast!O63*Historical_Cost!#REF!,"-")</f>
        <v>-</v>
      </c>
      <c r="P122" s="81" t="str">
        <f>IFERROR(SR_demand_forecast!P63*Historical_Cost!#REF!,"-")</f>
        <v>-</v>
      </c>
      <c r="Q122" s="81" t="str">
        <f>IFERROR(SR_demand_forecast!Q63*Historical_Cost!#REF!,"-")</f>
        <v>-</v>
      </c>
      <c r="R122" s="81" t="str">
        <f>IFERROR(SR_demand_forecast!R63*Historical_Cost!#REF!,"-")</f>
        <v>-</v>
      </c>
      <c r="S122" s="81" t="str">
        <f>IFERROR(SR_demand_forecast!S63*Historical_Cost!#REF!,"-")</f>
        <v>-</v>
      </c>
      <c r="T122" s="81" t="str">
        <f>IFERROR(SR_demand_forecast!T63*Historical_Cost!#REF!,"-")</f>
        <v>-</v>
      </c>
      <c r="U122" s="81" t="str">
        <f>IFERROR(SR_demand_forecast!U63*Historical_Cost!#REF!,"-")</f>
        <v>-</v>
      </c>
      <c r="V122" s="81" t="str">
        <f>IFERROR(SR_demand_forecast!V63*Historical_Cost!#REF!,"-")</f>
        <v>-</v>
      </c>
    </row>
    <row r="123" spans="1:22" x14ac:dyDescent="0.3">
      <c r="A123" s="526"/>
      <c r="B123" s="34" t="s">
        <v>84</v>
      </c>
      <c r="C123" s="128">
        <f t="shared" ref="C123:V123" si="6">SUM(C115:C122)</f>
        <v>0</v>
      </c>
      <c r="D123" s="128">
        <f t="shared" si="6"/>
        <v>0</v>
      </c>
      <c r="E123" s="128">
        <f t="shared" si="6"/>
        <v>0</v>
      </c>
      <c r="F123" s="128">
        <f t="shared" si="6"/>
        <v>0</v>
      </c>
      <c r="G123" s="128">
        <f t="shared" si="6"/>
        <v>0</v>
      </c>
      <c r="H123" s="128">
        <f t="shared" si="6"/>
        <v>0</v>
      </c>
      <c r="I123" s="128">
        <f t="shared" si="6"/>
        <v>0</v>
      </c>
      <c r="J123" s="128">
        <f t="shared" si="6"/>
        <v>0</v>
      </c>
      <c r="K123" s="128">
        <f t="shared" si="6"/>
        <v>0</v>
      </c>
      <c r="L123" s="128">
        <f t="shared" si="6"/>
        <v>0</v>
      </c>
      <c r="M123" s="128">
        <f t="shared" si="6"/>
        <v>0</v>
      </c>
      <c r="N123" s="128">
        <f t="shared" si="6"/>
        <v>0</v>
      </c>
      <c r="O123" s="128">
        <f t="shared" si="6"/>
        <v>0</v>
      </c>
      <c r="P123" s="128">
        <f t="shared" si="6"/>
        <v>0</v>
      </c>
      <c r="Q123" s="128">
        <f t="shared" si="6"/>
        <v>0</v>
      </c>
      <c r="R123" s="128">
        <f t="shared" si="6"/>
        <v>0</v>
      </c>
      <c r="S123" s="128">
        <f t="shared" si="6"/>
        <v>0</v>
      </c>
      <c r="T123" s="128">
        <f t="shared" si="6"/>
        <v>0</v>
      </c>
      <c r="U123" s="128">
        <f t="shared" si="6"/>
        <v>0</v>
      </c>
      <c r="V123" s="128">
        <f t="shared" si="6"/>
        <v>0</v>
      </c>
    </row>
    <row r="124" spans="1:22" x14ac:dyDescent="0.3">
      <c r="A124" s="526"/>
      <c r="B124" s="129"/>
      <c r="C124" s="130"/>
      <c r="D124" s="130"/>
      <c r="E124" s="130"/>
      <c r="F124" s="130"/>
      <c r="G124" s="130"/>
      <c r="H124" s="130"/>
      <c r="I124" s="130"/>
      <c r="J124" s="130"/>
      <c r="K124" s="130"/>
      <c r="L124" s="130"/>
      <c r="M124" s="130"/>
      <c r="N124" s="130"/>
      <c r="O124" s="130"/>
      <c r="P124" s="130"/>
      <c r="Q124" s="130"/>
      <c r="R124" s="130"/>
      <c r="S124" s="130"/>
      <c r="T124" s="130"/>
      <c r="U124" s="130"/>
      <c r="V124" s="130"/>
    </row>
    <row r="125" spans="1:22" x14ac:dyDescent="0.3">
      <c r="A125" s="526"/>
      <c r="B125" s="129"/>
      <c r="C125" s="130"/>
      <c r="D125" s="130"/>
      <c r="E125" s="130"/>
      <c r="F125" s="130"/>
      <c r="G125" s="130"/>
      <c r="H125" s="130"/>
      <c r="I125" s="130"/>
      <c r="J125" s="130"/>
      <c r="K125" s="130"/>
      <c r="L125" s="130"/>
      <c r="M125" s="130"/>
      <c r="N125" s="130"/>
      <c r="O125" s="130"/>
      <c r="P125" s="130"/>
      <c r="Q125" s="130"/>
      <c r="R125" s="130"/>
      <c r="S125" s="130"/>
      <c r="T125" s="130"/>
      <c r="U125" s="130"/>
      <c r="V125" s="130"/>
    </row>
    <row r="126" spans="1:22" x14ac:dyDescent="0.3">
      <c r="A126" s="526"/>
      <c r="B126" s="129"/>
      <c r="C126" s="130"/>
      <c r="D126" s="130"/>
      <c r="E126" s="130"/>
      <c r="F126" s="130"/>
      <c r="G126" s="130"/>
      <c r="H126" s="130"/>
      <c r="I126" s="130"/>
      <c r="J126" s="130"/>
      <c r="K126" s="130"/>
      <c r="L126" s="130"/>
      <c r="M126" s="130"/>
      <c r="N126" s="130"/>
      <c r="O126" s="130"/>
      <c r="P126" s="130"/>
      <c r="Q126" s="130"/>
      <c r="R126" s="130"/>
      <c r="S126" s="130"/>
      <c r="T126" s="130"/>
      <c r="U126" s="130"/>
      <c r="V126" s="130"/>
    </row>
    <row r="127" spans="1:22" x14ac:dyDescent="0.3">
      <c r="A127" s="526"/>
      <c r="B127" s="129"/>
      <c r="C127" s="130"/>
      <c r="D127" s="130"/>
      <c r="E127" s="130"/>
      <c r="F127" s="130"/>
      <c r="G127" s="130"/>
      <c r="H127" s="130"/>
      <c r="I127" s="130"/>
      <c r="J127" s="130"/>
      <c r="K127" s="130"/>
      <c r="L127" s="130"/>
      <c r="M127" s="130"/>
      <c r="N127" s="130"/>
      <c r="O127" s="130"/>
      <c r="P127" s="130"/>
      <c r="Q127" s="130"/>
      <c r="R127" s="130"/>
      <c r="S127" s="130"/>
      <c r="T127" s="130"/>
      <c r="U127" s="130"/>
      <c r="V127" s="130"/>
    </row>
    <row r="128" spans="1:22" x14ac:dyDescent="0.3">
      <c r="A128" s="526"/>
      <c r="B128" s="129"/>
      <c r="C128" s="130"/>
      <c r="D128" s="130"/>
      <c r="E128" s="130"/>
      <c r="F128" s="130"/>
      <c r="G128" s="130"/>
      <c r="H128" s="130"/>
      <c r="I128" s="130"/>
      <c r="J128" s="130"/>
      <c r="K128" s="130"/>
      <c r="L128" s="130"/>
      <c r="M128" s="130"/>
      <c r="N128" s="130"/>
      <c r="O128" s="130"/>
      <c r="P128" s="130"/>
      <c r="Q128" s="130"/>
      <c r="R128" s="130"/>
      <c r="S128" s="130"/>
      <c r="T128" s="130"/>
      <c r="U128" s="130"/>
      <c r="V128" s="130"/>
    </row>
    <row r="129" spans="1:22" x14ac:dyDescent="0.3">
      <c r="A129" s="526"/>
    </row>
    <row r="130" spans="1:22" x14ac:dyDescent="0.3">
      <c r="A130" s="526"/>
    </row>
    <row r="131" spans="1:22" x14ac:dyDescent="0.3">
      <c r="A131" s="526"/>
      <c r="B131" s="35" t="s">
        <v>163</v>
      </c>
      <c r="L131" s="20"/>
      <c r="M131" s="20"/>
    </row>
    <row r="132" spans="1:22" x14ac:dyDescent="0.3">
      <c r="A132" s="526"/>
      <c r="B132" s="78" t="s">
        <v>82</v>
      </c>
      <c r="C132" s="78">
        <v>2021</v>
      </c>
      <c r="D132" s="79">
        <v>2022</v>
      </c>
      <c r="E132" s="78">
        <v>2023</v>
      </c>
      <c r="F132" s="79">
        <v>2024</v>
      </c>
      <c r="G132" s="78">
        <v>2025</v>
      </c>
      <c r="H132" s="79">
        <v>2026</v>
      </c>
      <c r="I132" s="78">
        <v>2027</v>
      </c>
      <c r="J132" s="79">
        <v>2028</v>
      </c>
      <c r="K132" s="78">
        <v>2029</v>
      </c>
      <c r="L132" s="79">
        <v>2030</v>
      </c>
      <c r="M132" s="78">
        <v>2031</v>
      </c>
      <c r="N132" s="79">
        <v>2032</v>
      </c>
      <c r="O132" s="78">
        <v>2033</v>
      </c>
      <c r="P132" s="79">
        <v>2034</v>
      </c>
      <c r="Q132" s="78">
        <v>2035</v>
      </c>
      <c r="R132" s="79">
        <v>2036</v>
      </c>
      <c r="S132" s="78">
        <v>2037</v>
      </c>
      <c r="T132" s="79">
        <v>2038</v>
      </c>
      <c r="U132" s="78">
        <v>2039</v>
      </c>
      <c r="V132" s="79">
        <v>2040</v>
      </c>
    </row>
    <row r="133" spans="1:22" x14ac:dyDescent="0.3">
      <c r="A133" s="526"/>
      <c r="B133" s="33" t="s">
        <v>43</v>
      </c>
      <c r="C133" s="81" t="str">
        <f>IFERROR(SR_demand_forecast!C129*Historical_Cost!#REF!,"-")</f>
        <v>-</v>
      </c>
      <c r="D133" s="81" t="str">
        <f>IFERROR(SR_demand_forecast!D129*Historical_Cost!#REF!,"-")</f>
        <v>-</v>
      </c>
      <c r="E133" s="81" t="str">
        <f>IFERROR(SR_demand_forecast!E129*Historical_Cost!#REF!,"-")</f>
        <v>-</v>
      </c>
      <c r="F133" s="81" t="str">
        <f>IFERROR(SR_demand_forecast!F129*Historical_Cost!#REF!,"-")</f>
        <v>-</v>
      </c>
      <c r="G133" s="81" t="str">
        <f>IFERROR(SR_demand_forecast!G129*Historical_Cost!#REF!,"-")</f>
        <v>-</v>
      </c>
      <c r="H133" s="81" t="str">
        <f>IFERROR(SR_demand_forecast!H129*Historical_Cost!#REF!,"-")</f>
        <v>-</v>
      </c>
      <c r="I133" s="81" t="str">
        <f>IFERROR(SR_demand_forecast!I129*Historical_Cost!#REF!,"-")</f>
        <v>-</v>
      </c>
      <c r="J133" s="81" t="str">
        <f>IFERROR(SR_demand_forecast!J129*Historical_Cost!#REF!,"-")</f>
        <v>-</v>
      </c>
      <c r="K133" s="81" t="str">
        <f>IFERROR(SR_demand_forecast!K129*Historical_Cost!#REF!,"-")</f>
        <v>-</v>
      </c>
      <c r="L133" s="81" t="str">
        <f>IFERROR(SR_demand_forecast!L129*Historical_Cost!#REF!,"-")</f>
        <v>-</v>
      </c>
      <c r="M133" s="81" t="str">
        <f>IFERROR(SR_demand_forecast!M129*Historical_Cost!#REF!,"-")</f>
        <v>-</v>
      </c>
      <c r="N133" s="81" t="str">
        <f>IFERROR(SR_demand_forecast!N129*Historical_Cost!#REF!,"-")</f>
        <v>-</v>
      </c>
      <c r="O133" s="81" t="str">
        <f>IFERROR(SR_demand_forecast!O129*Historical_Cost!#REF!,"-")</f>
        <v>-</v>
      </c>
      <c r="P133" s="81" t="str">
        <f>IFERROR(SR_demand_forecast!P129*Historical_Cost!#REF!,"-")</f>
        <v>-</v>
      </c>
      <c r="Q133" s="81" t="str">
        <f>IFERROR(SR_demand_forecast!Q129*Historical_Cost!#REF!,"-")</f>
        <v>-</v>
      </c>
      <c r="R133" s="81" t="str">
        <f>IFERROR(SR_demand_forecast!R129*Historical_Cost!#REF!,"-")</f>
        <v>-</v>
      </c>
      <c r="S133" s="81" t="str">
        <f>IFERROR(SR_demand_forecast!S129*Historical_Cost!#REF!,"-")</f>
        <v>-</v>
      </c>
      <c r="T133" s="81" t="str">
        <f>IFERROR(SR_demand_forecast!T129*Historical_Cost!#REF!,"-")</f>
        <v>-</v>
      </c>
      <c r="U133" s="81" t="str">
        <f>IFERROR(SR_demand_forecast!U129*Historical_Cost!#REF!,"-")</f>
        <v>-</v>
      </c>
      <c r="V133" s="81" t="str">
        <f>IFERROR(SR_demand_forecast!V129*Historical_Cost!#REF!,"-")</f>
        <v>-</v>
      </c>
    </row>
    <row r="134" spans="1:22" x14ac:dyDescent="0.3">
      <c r="A134" s="526"/>
      <c r="B134" s="33" t="s">
        <v>41</v>
      </c>
      <c r="C134" s="81" t="str">
        <f>IFERROR(SR_demand_forecast!C130*Historical_Cost!#REF!,"-")</f>
        <v>-</v>
      </c>
      <c r="D134" s="81" t="str">
        <f>IFERROR(SR_demand_forecast!D130*Historical_Cost!#REF!,"-")</f>
        <v>-</v>
      </c>
      <c r="E134" s="81" t="str">
        <f>IFERROR(SR_demand_forecast!E130*Historical_Cost!#REF!,"-")</f>
        <v>-</v>
      </c>
      <c r="F134" s="81" t="str">
        <f>IFERROR(SR_demand_forecast!F130*Historical_Cost!#REF!,"-")</f>
        <v>-</v>
      </c>
      <c r="G134" s="81" t="str">
        <f>IFERROR(SR_demand_forecast!G130*Historical_Cost!#REF!,"-")</f>
        <v>-</v>
      </c>
      <c r="H134" s="81" t="str">
        <f>IFERROR(SR_demand_forecast!H130*Historical_Cost!#REF!,"-")</f>
        <v>-</v>
      </c>
      <c r="I134" s="81" t="str">
        <f>IFERROR(SR_demand_forecast!I130*Historical_Cost!#REF!,"-")</f>
        <v>-</v>
      </c>
      <c r="J134" s="81" t="str">
        <f>IFERROR(SR_demand_forecast!J130*Historical_Cost!#REF!,"-")</f>
        <v>-</v>
      </c>
      <c r="K134" s="81" t="str">
        <f>IFERROR(SR_demand_forecast!K130*Historical_Cost!#REF!,"-")</f>
        <v>-</v>
      </c>
      <c r="L134" s="81" t="str">
        <f>IFERROR(SR_demand_forecast!L130*Historical_Cost!#REF!,"-")</f>
        <v>-</v>
      </c>
      <c r="M134" s="81" t="str">
        <f>IFERROR(SR_demand_forecast!M130*Historical_Cost!#REF!,"-")</f>
        <v>-</v>
      </c>
      <c r="N134" s="81" t="str">
        <f>IFERROR(SR_demand_forecast!N130*Historical_Cost!#REF!,"-")</f>
        <v>-</v>
      </c>
      <c r="O134" s="81" t="str">
        <f>IFERROR(SR_demand_forecast!O130*Historical_Cost!#REF!,"-")</f>
        <v>-</v>
      </c>
      <c r="P134" s="81" t="str">
        <f>IFERROR(SR_demand_forecast!P130*Historical_Cost!#REF!,"-")</f>
        <v>-</v>
      </c>
      <c r="Q134" s="81" t="str">
        <f>IFERROR(SR_demand_forecast!Q130*Historical_Cost!#REF!,"-")</f>
        <v>-</v>
      </c>
      <c r="R134" s="81" t="str">
        <f>IFERROR(SR_demand_forecast!R130*Historical_Cost!#REF!,"-")</f>
        <v>-</v>
      </c>
      <c r="S134" s="81" t="str">
        <f>IFERROR(SR_demand_forecast!S130*Historical_Cost!#REF!,"-")</f>
        <v>-</v>
      </c>
      <c r="T134" s="81" t="str">
        <f>IFERROR(SR_demand_forecast!T130*Historical_Cost!#REF!,"-")</f>
        <v>-</v>
      </c>
      <c r="U134" s="81" t="str">
        <f>IFERROR(SR_demand_forecast!U130*Historical_Cost!#REF!,"-")</f>
        <v>-</v>
      </c>
      <c r="V134" s="81" t="str">
        <f>IFERROR(SR_demand_forecast!V130*Historical_Cost!#REF!,"-")</f>
        <v>-</v>
      </c>
    </row>
    <row r="135" spans="1:22" x14ac:dyDescent="0.3">
      <c r="A135" s="526"/>
      <c r="B135" s="33" t="s">
        <v>40</v>
      </c>
      <c r="C135" s="81" t="str">
        <f>IFERROR(SR_demand_forecast!C131*Historical_Cost!#REF!,"-")</f>
        <v>-</v>
      </c>
      <c r="D135" s="81" t="str">
        <f>IFERROR(SR_demand_forecast!D131*Historical_Cost!#REF!,"-")</f>
        <v>-</v>
      </c>
      <c r="E135" s="81" t="str">
        <f>IFERROR(SR_demand_forecast!E131*Historical_Cost!#REF!,"-")</f>
        <v>-</v>
      </c>
      <c r="F135" s="81" t="str">
        <f>IFERROR(SR_demand_forecast!F131*Historical_Cost!#REF!,"-")</f>
        <v>-</v>
      </c>
      <c r="G135" s="81" t="str">
        <f>IFERROR(SR_demand_forecast!G131*Historical_Cost!#REF!,"-")</f>
        <v>-</v>
      </c>
      <c r="H135" s="81" t="str">
        <f>IFERROR(SR_demand_forecast!H131*Historical_Cost!#REF!,"-")</f>
        <v>-</v>
      </c>
      <c r="I135" s="81" t="str">
        <f>IFERROR(SR_demand_forecast!I131*Historical_Cost!#REF!,"-")</f>
        <v>-</v>
      </c>
      <c r="J135" s="81" t="str">
        <f>IFERROR(SR_demand_forecast!J131*Historical_Cost!#REF!,"-")</f>
        <v>-</v>
      </c>
      <c r="K135" s="81" t="str">
        <f>IFERROR(SR_demand_forecast!K131*Historical_Cost!#REF!,"-")</f>
        <v>-</v>
      </c>
      <c r="L135" s="81" t="str">
        <f>IFERROR(SR_demand_forecast!L131*Historical_Cost!#REF!,"-")</f>
        <v>-</v>
      </c>
      <c r="M135" s="81" t="str">
        <f>IFERROR(SR_demand_forecast!M131*Historical_Cost!#REF!,"-")</f>
        <v>-</v>
      </c>
      <c r="N135" s="81" t="str">
        <f>IFERROR(SR_demand_forecast!N131*Historical_Cost!#REF!,"-")</f>
        <v>-</v>
      </c>
      <c r="O135" s="81" t="str">
        <f>IFERROR(SR_demand_forecast!O131*Historical_Cost!#REF!,"-")</f>
        <v>-</v>
      </c>
      <c r="P135" s="81" t="str">
        <f>IFERROR(SR_demand_forecast!P131*Historical_Cost!#REF!,"-")</f>
        <v>-</v>
      </c>
      <c r="Q135" s="81" t="str">
        <f>IFERROR(SR_demand_forecast!Q131*Historical_Cost!#REF!,"-")</f>
        <v>-</v>
      </c>
      <c r="R135" s="81" t="str">
        <f>IFERROR(SR_demand_forecast!R131*Historical_Cost!#REF!,"-")</f>
        <v>-</v>
      </c>
      <c r="S135" s="81" t="str">
        <f>IFERROR(SR_demand_forecast!S131*Historical_Cost!#REF!,"-")</f>
        <v>-</v>
      </c>
      <c r="T135" s="81" t="str">
        <f>IFERROR(SR_demand_forecast!T131*Historical_Cost!#REF!,"-")</f>
        <v>-</v>
      </c>
      <c r="U135" s="81" t="str">
        <f>IFERROR(SR_demand_forecast!U131*Historical_Cost!#REF!,"-")</f>
        <v>-</v>
      </c>
      <c r="V135" s="81" t="str">
        <f>IFERROR(SR_demand_forecast!V131*Historical_Cost!#REF!,"-")</f>
        <v>-</v>
      </c>
    </row>
    <row r="136" spans="1:22" x14ac:dyDescent="0.3">
      <c r="A136" s="526"/>
      <c r="B136" s="33" t="s">
        <v>80</v>
      </c>
      <c r="C136" s="81" t="str">
        <f>IFERROR(SR_demand_forecast!C132*Historical_Cost!#REF!,"-")</f>
        <v>-</v>
      </c>
      <c r="D136" s="81" t="str">
        <f>IFERROR(SR_demand_forecast!D132*Historical_Cost!#REF!,"-")</f>
        <v>-</v>
      </c>
      <c r="E136" s="81" t="str">
        <f>IFERROR(SR_demand_forecast!E132*Historical_Cost!#REF!,"-")</f>
        <v>-</v>
      </c>
      <c r="F136" s="81" t="str">
        <f>IFERROR(SR_demand_forecast!F132*Historical_Cost!#REF!,"-")</f>
        <v>-</v>
      </c>
      <c r="G136" s="81" t="str">
        <f>IFERROR(SR_demand_forecast!G132*Historical_Cost!#REF!,"-")</f>
        <v>-</v>
      </c>
      <c r="H136" s="81" t="str">
        <f>IFERROR(SR_demand_forecast!H132*Historical_Cost!#REF!,"-")</f>
        <v>-</v>
      </c>
      <c r="I136" s="81" t="str">
        <f>IFERROR(SR_demand_forecast!I132*Historical_Cost!#REF!,"-")</f>
        <v>-</v>
      </c>
      <c r="J136" s="81" t="str">
        <f>IFERROR(SR_demand_forecast!J132*Historical_Cost!#REF!,"-")</f>
        <v>-</v>
      </c>
      <c r="K136" s="81" t="str">
        <f>IFERROR(SR_demand_forecast!K132*Historical_Cost!#REF!,"-")</f>
        <v>-</v>
      </c>
      <c r="L136" s="81" t="str">
        <f>IFERROR(SR_demand_forecast!L132*Historical_Cost!#REF!,"-")</f>
        <v>-</v>
      </c>
      <c r="M136" s="81" t="str">
        <f>IFERROR(SR_demand_forecast!M132*Historical_Cost!#REF!,"-")</f>
        <v>-</v>
      </c>
      <c r="N136" s="81" t="str">
        <f>IFERROR(SR_demand_forecast!N132*Historical_Cost!#REF!,"-")</f>
        <v>-</v>
      </c>
      <c r="O136" s="81" t="str">
        <f>IFERROR(SR_demand_forecast!O132*Historical_Cost!#REF!,"-")</f>
        <v>-</v>
      </c>
      <c r="P136" s="81" t="str">
        <f>IFERROR(SR_demand_forecast!P132*Historical_Cost!#REF!,"-")</f>
        <v>-</v>
      </c>
      <c r="Q136" s="81" t="str">
        <f>IFERROR(SR_demand_forecast!Q132*Historical_Cost!#REF!,"-")</f>
        <v>-</v>
      </c>
      <c r="R136" s="81" t="str">
        <f>IFERROR(SR_demand_forecast!R132*Historical_Cost!#REF!,"-")</f>
        <v>-</v>
      </c>
      <c r="S136" s="81" t="str">
        <f>IFERROR(SR_demand_forecast!S132*Historical_Cost!#REF!,"-")</f>
        <v>-</v>
      </c>
      <c r="T136" s="81" t="str">
        <f>IFERROR(SR_demand_forecast!T132*Historical_Cost!#REF!,"-")</f>
        <v>-</v>
      </c>
      <c r="U136" s="81" t="str">
        <f>IFERROR(SR_demand_forecast!U132*Historical_Cost!#REF!,"-")</f>
        <v>-</v>
      </c>
      <c r="V136" s="81" t="str">
        <f>IFERROR(SR_demand_forecast!V132*Historical_Cost!#REF!,"-")</f>
        <v>-</v>
      </c>
    </row>
    <row r="137" spans="1:22" x14ac:dyDescent="0.3">
      <c r="A137" s="526"/>
      <c r="B137" s="33" t="s">
        <v>44</v>
      </c>
      <c r="C137" s="81" t="str">
        <f>IFERROR(SR_demand_forecast!C133*Historical_Cost!#REF!,"-")</f>
        <v>-</v>
      </c>
      <c r="D137" s="81" t="str">
        <f>IFERROR(SR_demand_forecast!D133*Historical_Cost!#REF!,"-")</f>
        <v>-</v>
      </c>
      <c r="E137" s="81" t="str">
        <f>IFERROR(SR_demand_forecast!E133*Historical_Cost!#REF!,"-")</f>
        <v>-</v>
      </c>
      <c r="F137" s="81" t="str">
        <f>IFERROR(SR_demand_forecast!F133*Historical_Cost!#REF!,"-")</f>
        <v>-</v>
      </c>
      <c r="G137" s="81" t="str">
        <f>IFERROR(SR_demand_forecast!G133*Historical_Cost!#REF!,"-")</f>
        <v>-</v>
      </c>
      <c r="H137" s="81" t="str">
        <f>IFERROR(SR_demand_forecast!H133*Historical_Cost!#REF!,"-")</f>
        <v>-</v>
      </c>
      <c r="I137" s="81" t="str">
        <f>IFERROR(SR_demand_forecast!I133*Historical_Cost!#REF!,"-")</f>
        <v>-</v>
      </c>
      <c r="J137" s="81" t="str">
        <f>IFERROR(SR_demand_forecast!J133*Historical_Cost!#REF!,"-")</f>
        <v>-</v>
      </c>
      <c r="K137" s="81" t="str">
        <f>IFERROR(SR_demand_forecast!K133*Historical_Cost!#REF!,"-")</f>
        <v>-</v>
      </c>
      <c r="L137" s="81" t="str">
        <f>IFERROR(SR_demand_forecast!L133*Historical_Cost!#REF!,"-")</f>
        <v>-</v>
      </c>
      <c r="M137" s="81" t="str">
        <f>IFERROR(SR_demand_forecast!M133*Historical_Cost!#REF!,"-")</f>
        <v>-</v>
      </c>
      <c r="N137" s="81" t="str">
        <f>IFERROR(SR_demand_forecast!N133*Historical_Cost!#REF!,"-")</f>
        <v>-</v>
      </c>
      <c r="O137" s="81" t="str">
        <f>IFERROR(SR_demand_forecast!O133*Historical_Cost!#REF!,"-")</f>
        <v>-</v>
      </c>
      <c r="P137" s="81" t="str">
        <f>IFERROR(SR_demand_forecast!P133*Historical_Cost!#REF!,"-")</f>
        <v>-</v>
      </c>
      <c r="Q137" s="81" t="str">
        <f>IFERROR(SR_demand_forecast!Q133*Historical_Cost!#REF!,"-")</f>
        <v>-</v>
      </c>
      <c r="R137" s="81" t="str">
        <f>IFERROR(SR_demand_forecast!R133*Historical_Cost!#REF!,"-")</f>
        <v>-</v>
      </c>
      <c r="S137" s="81" t="str">
        <f>IFERROR(SR_demand_forecast!S133*Historical_Cost!#REF!,"-")</f>
        <v>-</v>
      </c>
      <c r="T137" s="81" t="str">
        <f>IFERROR(SR_demand_forecast!T133*Historical_Cost!#REF!,"-")</f>
        <v>-</v>
      </c>
      <c r="U137" s="81" t="str">
        <f>IFERROR(SR_demand_forecast!U133*Historical_Cost!#REF!,"-")</f>
        <v>-</v>
      </c>
      <c r="V137" s="81" t="str">
        <f>IFERROR(SR_demand_forecast!V133*Historical_Cost!#REF!,"-")</f>
        <v>-</v>
      </c>
    </row>
    <row r="138" spans="1:22" x14ac:dyDescent="0.3">
      <c r="A138" s="526"/>
      <c r="B138" s="33" t="s">
        <v>81</v>
      </c>
      <c r="C138" s="81" t="str">
        <f>IFERROR(SR_demand_forecast!C134*Historical_Cost!#REF!,"-")</f>
        <v>-</v>
      </c>
      <c r="D138" s="81" t="str">
        <f>IFERROR(SR_demand_forecast!D134*Historical_Cost!#REF!,"-")</f>
        <v>-</v>
      </c>
      <c r="E138" s="81" t="str">
        <f>IFERROR(SR_demand_forecast!E134*Historical_Cost!#REF!,"-")</f>
        <v>-</v>
      </c>
      <c r="F138" s="81" t="str">
        <f>IFERROR(SR_demand_forecast!F134*Historical_Cost!#REF!,"-")</f>
        <v>-</v>
      </c>
      <c r="G138" s="81" t="str">
        <f>IFERROR(SR_demand_forecast!G134*Historical_Cost!#REF!,"-")</f>
        <v>-</v>
      </c>
      <c r="H138" s="81" t="str">
        <f>IFERROR(SR_demand_forecast!H134*Historical_Cost!#REF!,"-")</f>
        <v>-</v>
      </c>
      <c r="I138" s="81" t="str">
        <f>IFERROR(SR_demand_forecast!I134*Historical_Cost!#REF!,"-")</f>
        <v>-</v>
      </c>
      <c r="J138" s="81" t="str">
        <f>IFERROR(SR_demand_forecast!J134*Historical_Cost!#REF!,"-")</f>
        <v>-</v>
      </c>
      <c r="K138" s="81" t="str">
        <f>IFERROR(SR_demand_forecast!K134*Historical_Cost!#REF!,"-")</f>
        <v>-</v>
      </c>
      <c r="L138" s="81" t="str">
        <f>IFERROR(SR_demand_forecast!L134*Historical_Cost!#REF!,"-")</f>
        <v>-</v>
      </c>
      <c r="M138" s="81" t="str">
        <f>IFERROR(SR_demand_forecast!M134*Historical_Cost!#REF!,"-")</f>
        <v>-</v>
      </c>
      <c r="N138" s="81" t="str">
        <f>IFERROR(SR_demand_forecast!N134*Historical_Cost!#REF!,"-")</f>
        <v>-</v>
      </c>
      <c r="O138" s="81" t="str">
        <f>IFERROR(SR_demand_forecast!O134*Historical_Cost!#REF!,"-")</f>
        <v>-</v>
      </c>
      <c r="P138" s="81" t="str">
        <f>IFERROR(SR_demand_forecast!P134*Historical_Cost!#REF!,"-")</f>
        <v>-</v>
      </c>
      <c r="Q138" s="81" t="str">
        <f>IFERROR(SR_demand_forecast!Q134*Historical_Cost!#REF!,"-")</f>
        <v>-</v>
      </c>
      <c r="R138" s="81" t="str">
        <f>IFERROR(SR_demand_forecast!R134*Historical_Cost!#REF!,"-")</f>
        <v>-</v>
      </c>
      <c r="S138" s="81" t="str">
        <f>IFERROR(SR_demand_forecast!S134*Historical_Cost!#REF!,"-")</f>
        <v>-</v>
      </c>
      <c r="T138" s="81" t="str">
        <f>IFERROR(SR_demand_forecast!T134*Historical_Cost!#REF!,"-")</f>
        <v>-</v>
      </c>
      <c r="U138" s="81" t="str">
        <f>IFERROR(SR_demand_forecast!U134*Historical_Cost!#REF!,"-")</f>
        <v>-</v>
      </c>
      <c r="V138" s="81" t="str">
        <f>IFERROR(SR_demand_forecast!V134*Historical_Cost!#REF!,"-")</f>
        <v>-</v>
      </c>
    </row>
    <row r="139" spans="1:22" x14ac:dyDescent="0.3">
      <c r="A139" s="526"/>
      <c r="B139" s="33" t="s">
        <v>42</v>
      </c>
      <c r="C139" s="81" t="str">
        <f>IFERROR(SR_demand_forecast!C135*Historical_Cost!#REF!,"-")</f>
        <v>-</v>
      </c>
      <c r="D139" s="81" t="str">
        <f>IFERROR(SR_demand_forecast!D135*Historical_Cost!#REF!,"-")</f>
        <v>-</v>
      </c>
      <c r="E139" s="81" t="str">
        <f>IFERROR(SR_demand_forecast!E135*Historical_Cost!#REF!,"-")</f>
        <v>-</v>
      </c>
      <c r="F139" s="81" t="str">
        <f>IFERROR(SR_demand_forecast!F135*Historical_Cost!#REF!,"-")</f>
        <v>-</v>
      </c>
      <c r="G139" s="81" t="str">
        <f>IFERROR(SR_demand_forecast!G135*Historical_Cost!#REF!,"-")</f>
        <v>-</v>
      </c>
      <c r="H139" s="81" t="str">
        <f>IFERROR(SR_demand_forecast!H135*Historical_Cost!#REF!,"-")</f>
        <v>-</v>
      </c>
      <c r="I139" s="81" t="str">
        <f>IFERROR(SR_demand_forecast!I135*Historical_Cost!#REF!,"-")</f>
        <v>-</v>
      </c>
      <c r="J139" s="81" t="str">
        <f>IFERROR(SR_demand_forecast!J135*Historical_Cost!#REF!,"-")</f>
        <v>-</v>
      </c>
      <c r="K139" s="81" t="str">
        <f>IFERROR(SR_demand_forecast!K135*Historical_Cost!#REF!,"-")</f>
        <v>-</v>
      </c>
      <c r="L139" s="81" t="str">
        <f>IFERROR(SR_demand_forecast!L135*Historical_Cost!#REF!,"-")</f>
        <v>-</v>
      </c>
      <c r="M139" s="81" t="str">
        <f>IFERROR(SR_demand_forecast!M135*Historical_Cost!#REF!,"-")</f>
        <v>-</v>
      </c>
      <c r="N139" s="81" t="str">
        <f>IFERROR(SR_demand_forecast!N135*Historical_Cost!#REF!,"-")</f>
        <v>-</v>
      </c>
      <c r="O139" s="81" t="str">
        <f>IFERROR(SR_demand_forecast!O135*Historical_Cost!#REF!,"-")</f>
        <v>-</v>
      </c>
      <c r="P139" s="81" t="str">
        <f>IFERROR(SR_demand_forecast!P135*Historical_Cost!#REF!,"-")</f>
        <v>-</v>
      </c>
      <c r="Q139" s="81" t="str">
        <f>IFERROR(SR_demand_forecast!Q135*Historical_Cost!#REF!,"-")</f>
        <v>-</v>
      </c>
      <c r="R139" s="81" t="str">
        <f>IFERROR(SR_demand_forecast!R135*Historical_Cost!#REF!,"-")</f>
        <v>-</v>
      </c>
      <c r="S139" s="81" t="str">
        <f>IFERROR(SR_demand_forecast!S135*Historical_Cost!#REF!,"-")</f>
        <v>-</v>
      </c>
      <c r="T139" s="81" t="str">
        <f>IFERROR(SR_demand_forecast!T135*Historical_Cost!#REF!,"-")</f>
        <v>-</v>
      </c>
      <c r="U139" s="81" t="str">
        <f>IFERROR(SR_demand_forecast!U135*Historical_Cost!#REF!,"-")</f>
        <v>-</v>
      </c>
      <c r="V139" s="81" t="str">
        <f>IFERROR(SR_demand_forecast!V135*Historical_Cost!#REF!,"-")</f>
        <v>-</v>
      </c>
    </row>
    <row r="140" spans="1:22" x14ac:dyDescent="0.3">
      <c r="A140" s="526"/>
      <c r="B140" s="33" t="s">
        <v>45</v>
      </c>
      <c r="C140" s="81" t="str">
        <f>IFERROR(SR_demand_forecast!C136*Historical_Cost!#REF!,"-")</f>
        <v>-</v>
      </c>
      <c r="D140" s="81" t="str">
        <f>IFERROR(SR_demand_forecast!D136*Historical_Cost!#REF!,"-")</f>
        <v>-</v>
      </c>
      <c r="E140" s="81" t="str">
        <f>IFERROR(SR_demand_forecast!E136*Historical_Cost!#REF!,"-")</f>
        <v>-</v>
      </c>
      <c r="F140" s="81" t="str">
        <f>IFERROR(SR_demand_forecast!F136*Historical_Cost!#REF!,"-")</f>
        <v>-</v>
      </c>
      <c r="G140" s="81" t="str">
        <f>IFERROR(SR_demand_forecast!G136*Historical_Cost!#REF!,"-")</f>
        <v>-</v>
      </c>
      <c r="H140" s="81" t="str">
        <f>IFERROR(SR_demand_forecast!H136*Historical_Cost!#REF!,"-")</f>
        <v>-</v>
      </c>
      <c r="I140" s="81" t="str">
        <f>IFERROR(SR_demand_forecast!I136*Historical_Cost!#REF!,"-")</f>
        <v>-</v>
      </c>
      <c r="J140" s="81" t="str">
        <f>IFERROR(SR_demand_forecast!J136*Historical_Cost!#REF!,"-")</f>
        <v>-</v>
      </c>
      <c r="K140" s="81" t="str">
        <f>IFERROR(SR_demand_forecast!K136*Historical_Cost!#REF!,"-")</f>
        <v>-</v>
      </c>
      <c r="L140" s="81" t="str">
        <f>IFERROR(SR_demand_forecast!L136*Historical_Cost!#REF!,"-")</f>
        <v>-</v>
      </c>
      <c r="M140" s="81" t="str">
        <f>IFERROR(SR_demand_forecast!M136*Historical_Cost!#REF!,"-")</f>
        <v>-</v>
      </c>
      <c r="N140" s="81" t="str">
        <f>IFERROR(SR_demand_forecast!N136*Historical_Cost!#REF!,"-")</f>
        <v>-</v>
      </c>
      <c r="O140" s="81" t="str">
        <f>IFERROR(SR_demand_forecast!O136*Historical_Cost!#REF!,"-")</f>
        <v>-</v>
      </c>
      <c r="P140" s="81" t="str">
        <f>IFERROR(SR_demand_forecast!P136*Historical_Cost!#REF!,"-")</f>
        <v>-</v>
      </c>
      <c r="Q140" s="81" t="str">
        <f>IFERROR(SR_demand_forecast!Q136*Historical_Cost!#REF!,"-")</f>
        <v>-</v>
      </c>
      <c r="R140" s="81" t="str">
        <f>IFERROR(SR_demand_forecast!R136*Historical_Cost!#REF!,"-")</f>
        <v>-</v>
      </c>
      <c r="S140" s="81" t="str">
        <f>IFERROR(SR_demand_forecast!S136*Historical_Cost!#REF!,"-")</f>
        <v>-</v>
      </c>
      <c r="T140" s="81" t="str">
        <f>IFERROR(SR_demand_forecast!T136*Historical_Cost!#REF!,"-")</f>
        <v>-</v>
      </c>
      <c r="U140" s="81" t="str">
        <f>IFERROR(SR_demand_forecast!U136*Historical_Cost!#REF!,"-")</f>
        <v>-</v>
      </c>
      <c r="V140" s="81" t="str">
        <f>IFERROR(SR_demand_forecast!V136*Historical_Cost!#REF!,"-")</f>
        <v>-</v>
      </c>
    </row>
    <row r="141" spans="1:22" x14ac:dyDescent="0.3">
      <c r="A141" s="526"/>
      <c r="B141" s="33" t="s">
        <v>84</v>
      </c>
      <c r="C141" s="128">
        <f t="shared" ref="C141:V141" si="7">SUM(C133:C140)</f>
        <v>0</v>
      </c>
      <c r="D141" s="128">
        <f t="shared" si="7"/>
        <v>0</v>
      </c>
      <c r="E141" s="128">
        <f t="shared" si="7"/>
        <v>0</v>
      </c>
      <c r="F141" s="128">
        <f t="shared" si="7"/>
        <v>0</v>
      </c>
      <c r="G141" s="128">
        <f t="shared" si="7"/>
        <v>0</v>
      </c>
      <c r="H141" s="128">
        <f t="shared" si="7"/>
        <v>0</v>
      </c>
      <c r="I141" s="128">
        <f t="shared" si="7"/>
        <v>0</v>
      </c>
      <c r="J141" s="128">
        <f t="shared" si="7"/>
        <v>0</v>
      </c>
      <c r="K141" s="128">
        <f t="shared" si="7"/>
        <v>0</v>
      </c>
      <c r="L141" s="128">
        <f t="shared" si="7"/>
        <v>0</v>
      </c>
      <c r="M141" s="128">
        <f t="shared" si="7"/>
        <v>0</v>
      </c>
      <c r="N141" s="128">
        <f t="shared" si="7"/>
        <v>0</v>
      </c>
      <c r="O141" s="128">
        <f t="shared" si="7"/>
        <v>0</v>
      </c>
      <c r="P141" s="128">
        <f t="shared" si="7"/>
        <v>0</v>
      </c>
      <c r="Q141" s="128">
        <f t="shared" si="7"/>
        <v>0</v>
      </c>
      <c r="R141" s="128">
        <f t="shared" si="7"/>
        <v>0</v>
      </c>
      <c r="S141" s="128">
        <f t="shared" si="7"/>
        <v>0</v>
      </c>
      <c r="T141" s="128">
        <f t="shared" si="7"/>
        <v>0</v>
      </c>
      <c r="U141" s="128">
        <f t="shared" si="7"/>
        <v>0</v>
      </c>
      <c r="V141" s="128">
        <f t="shared" si="7"/>
        <v>0</v>
      </c>
    </row>
    <row r="142" spans="1:22" x14ac:dyDescent="0.3">
      <c r="A142" s="526"/>
    </row>
    <row r="143" spans="1:22" x14ac:dyDescent="0.3">
      <c r="A143" s="526"/>
    </row>
    <row r="144" spans="1:22" x14ac:dyDescent="0.3">
      <c r="A144" s="526"/>
    </row>
    <row r="145" spans="1:22" x14ac:dyDescent="0.3">
      <c r="A145" s="526"/>
    </row>
    <row r="146" spans="1:22" x14ac:dyDescent="0.3">
      <c r="A146" s="526"/>
    </row>
    <row r="147" spans="1:22" x14ac:dyDescent="0.3">
      <c r="A147" s="526"/>
    </row>
    <row r="148" spans="1:22" x14ac:dyDescent="0.3">
      <c r="A148" s="526"/>
    </row>
    <row r="149" spans="1:22" x14ac:dyDescent="0.3">
      <c r="A149" s="526"/>
      <c r="B149" s="35" t="s">
        <v>164</v>
      </c>
      <c r="L149" s="20"/>
      <c r="M149" s="20"/>
    </row>
    <row r="150" spans="1:22" x14ac:dyDescent="0.3">
      <c r="A150" s="526"/>
      <c r="B150" s="78" t="s">
        <v>82</v>
      </c>
      <c r="C150" s="78">
        <v>2021</v>
      </c>
      <c r="D150" s="79">
        <v>2022</v>
      </c>
      <c r="E150" s="78">
        <v>2023</v>
      </c>
      <c r="F150" s="79">
        <v>2024</v>
      </c>
      <c r="G150" s="78">
        <v>2025</v>
      </c>
      <c r="H150" s="79">
        <v>2026</v>
      </c>
      <c r="I150" s="78">
        <v>2027</v>
      </c>
      <c r="J150" s="79">
        <v>2028</v>
      </c>
      <c r="K150" s="78">
        <v>2029</v>
      </c>
      <c r="L150" s="79">
        <v>2030</v>
      </c>
      <c r="M150" s="78">
        <v>2031</v>
      </c>
      <c r="N150" s="79">
        <v>2032</v>
      </c>
      <c r="O150" s="78">
        <v>2033</v>
      </c>
      <c r="P150" s="79">
        <v>2034</v>
      </c>
      <c r="Q150" s="78">
        <v>2035</v>
      </c>
      <c r="R150" s="79">
        <v>2036</v>
      </c>
      <c r="S150" s="78">
        <v>2037</v>
      </c>
      <c r="T150" s="79">
        <v>2038</v>
      </c>
      <c r="U150" s="78">
        <v>2039</v>
      </c>
      <c r="V150" s="79">
        <v>2040</v>
      </c>
    </row>
    <row r="151" spans="1:22" x14ac:dyDescent="0.3">
      <c r="A151" s="526"/>
      <c r="B151" s="33" t="s">
        <v>43</v>
      </c>
      <c r="C151" s="81" t="str">
        <f>IFERROR(SR_demand_forecast!C202*Historical_Cost!#REF!,"-")</f>
        <v>-</v>
      </c>
      <c r="D151" s="81" t="str">
        <f>IFERROR(SR_demand_forecast!D202*Historical_Cost!#REF!,"-")</f>
        <v>-</v>
      </c>
      <c r="E151" s="81" t="str">
        <f>IFERROR(SR_demand_forecast!E202*Historical_Cost!#REF!,"-")</f>
        <v>-</v>
      </c>
      <c r="F151" s="81" t="str">
        <f>IFERROR(SR_demand_forecast!F202*Historical_Cost!#REF!,"-")</f>
        <v>-</v>
      </c>
      <c r="G151" s="81" t="str">
        <f>IFERROR(SR_demand_forecast!G202*Historical_Cost!#REF!,"-")</f>
        <v>-</v>
      </c>
      <c r="H151" s="81" t="str">
        <f>IFERROR(SR_demand_forecast!H202*Historical_Cost!#REF!,"-")</f>
        <v>-</v>
      </c>
      <c r="I151" s="81" t="str">
        <f>IFERROR(SR_demand_forecast!I202*Historical_Cost!#REF!,"-")</f>
        <v>-</v>
      </c>
      <c r="J151" s="81" t="str">
        <f>IFERROR(SR_demand_forecast!J202*Historical_Cost!#REF!,"-")</f>
        <v>-</v>
      </c>
      <c r="K151" s="81" t="str">
        <f>IFERROR(SR_demand_forecast!K202*Historical_Cost!#REF!,"-")</f>
        <v>-</v>
      </c>
      <c r="L151" s="81" t="str">
        <f>IFERROR(SR_demand_forecast!L202*Historical_Cost!#REF!,"-")</f>
        <v>-</v>
      </c>
      <c r="M151" s="81" t="str">
        <f>IFERROR(SR_demand_forecast!M202*Historical_Cost!#REF!,"-")</f>
        <v>-</v>
      </c>
      <c r="N151" s="81" t="str">
        <f>IFERROR(SR_demand_forecast!N202*Historical_Cost!#REF!,"-")</f>
        <v>-</v>
      </c>
      <c r="O151" s="81" t="str">
        <f>IFERROR(SR_demand_forecast!O202*Historical_Cost!#REF!,"-")</f>
        <v>-</v>
      </c>
      <c r="P151" s="81" t="str">
        <f>IFERROR(SR_demand_forecast!P202*Historical_Cost!#REF!,"-")</f>
        <v>-</v>
      </c>
      <c r="Q151" s="81" t="str">
        <f>IFERROR(SR_demand_forecast!Q202*Historical_Cost!#REF!,"-")</f>
        <v>-</v>
      </c>
      <c r="R151" s="81" t="str">
        <f>IFERROR(SR_demand_forecast!R202*Historical_Cost!#REF!,"-")</f>
        <v>-</v>
      </c>
      <c r="S151" s="81" t="str">
        <f>IFERROR(SR_demand_forecast!S202*Historical_Cost!#REF!,"-")</f>
        <v>-</v>
      </c>
      <c r="T151" s="81" t="str">
        <f>IFERROR(SR_demand_forecast!T202*Historical_Cost!#REF!,"-")</f>
        <v>-</v>
      </c>
      <c r="U151" s="81" t="str">
        <f>IFERROR(SR_demand_forecast!U202*Historical_Cost!#REF!,"-")</f>
        <v>-</v>
      </c>
      <c r="V151" s="81" t="str">
        <f>IFERROR(SR_demand_forecast!V202*Historical_Cost!#REF!,"-")</f>
        <v>-</v>
      </c>
    </row>
    <row r="152" spans="1:22" x14ac:dyDescent="0.3">
      <c r="A152" s="526"/>
      <c r="B152" s="33" t="s">
        <v>41</v>
      </c>
      <c r="C152" s="81" t="str">
        <f>IFERROR(SR_demand_forecast!C203*Historical_Cost!#REF!,"-")</f>
        <v>-</v>
      </c>
      <c r="D152" s="81" t="str">
        <f>IFERROR(SR_demand_forecast!D203*Historical_Cost!#REF!,"-")</f>
        <v>-</v>
      </c>
      <c r="E152" s="81" t="str">
        <f>IFERROR(SR_demand_forecast!E203*Historical_Cost!#REF!,"-")</f>
        <v>-</v>
      </c>
      <c r="F152" s="81" t="str">
        <f>IFERROR(SR_demand_forecast!F203*Historical_Cost!#REF!,"-")</f>
        <v>-</v>
      </c>
      <c r="G152" s="81" t="str">
        <f>IFERROR(SR_demand_forecast!G203*Historical_Cost!#REF!,"-")</f>
        <v>-</v>
      </c>
      <c r="H152" s="81" t="str">
        <f>IFERROR(SR_demand_forecast!H203*Historical_Cost!#REF!,"-")</f>
        <v>-</v>
      </c>
      <c r="I152" s="81" t="str">
        <f>IFERROR(SR_demand_forecast!I203*Historical_Cost!#REF!,"-")</f>
        <v>-</v>
      </c>
      <c r="J152" s="81" t="str">
        <f>IFERROR(SR_demand_forecast!J203*Historical_Cost!#REF!,"-")</f>
        <v>-</v>
      </c>
      <c r="K152" s="81" t="str">
        <f>IFERROR(SR_demand_forecast!K203*Historical_Cost!#REF!,"-")</f>
        <v>-</v>
      </c>
      <c r="L152" s="81" t="str">
        <f>IFERROR(SR_demand_forecast!L203*Historical_Cost!#REF!,"-")</f>
        <v>-</v>
      </c>
      <c r="M152" s="81" t="str">
        <f>IFERROR(SR_demand_forecast!M203*Historical_Cost!#REF!,"-")</f>
        <v>-</v>
      </c>
      <c r="N152" s="81" t="str">
        <f>IFERROR(SR_demand_forecast!N203*Historical_Cost!#REF!,"-")</f>
        <v>-</v>
      </c>
      <c r="O152" s="81" t="str">
        <f>IFERROR(SR_demand_forecast!O203*Historical_Cost!#REF!,"-")</f>
        <v>-</v>
      </c>
      <c r="P152" s="81" t="str">
        <f>IFERROR(SR_demand_forecast!P203*Historical_Cost!#REF!,"-")</f>
        <v>-</v>
      </c>
      <c r="Q152" s="81" t="str">
        <f>IFERROR(SR_demand_forecast!Q203*Historical_Cost!#REF!,"-")</f>
        <v>-</v>
      </c>
      <c r="R152" s="81" t="str">
        <f>IFERROR(SR_demand_forecast!R203*Historical_Cost!#REF!,"-")</f>
        <v>-</v>
      </c>
      <c r="S152" s="81" t="str">
        <f>IFERROR(SR_demand_forecast!S203*Historical_Cost!#REF!,"-")</f>
        <v>-</v>
      </c>
      <c r="T152" s="81" t="str">
        <f>IFERROR(SR_demand_forecast!T203*Historical_Cost!#REF!,"-")</f>
        <v>-</v>
      </c>
      <c r="U152" s="81" t="str">
        <f>IFERROR(SR_demand_forecast!U203*Historical_Cost!#REF!,"-")</f>
        <v>-</v>
      </c>
      <c r="V152" s="81" t="str">
        <f>IFERROR(SR_demand_forecast!V203*Historical_Cost!#REF!,"-")</f>
        <v>-</v>
      </c>
    </row>
    <row r="153" spans="1:22" x14ac:dyDescent="0.3">
      <c r="A153" s="526"/>
      <c r="B153" s="33" t="s">
        <v>40</v>
      </c>
      <c r="C153" s="81" t="str">
        <f>IFERROR(SR_demand_forecast!C204*Historical_Cost!#REF!,"-")</f>
        <v>-</v>
      </c>
      <c r="D153" s="81" t="str">
        <f>IFERROR(SR_demand_forecast!D204*Historical_Cost!#REF!,"-")</f>
        <v>-</v>
      </c>
      <c r="E153" s="81" t="str">
        <f>IFERROR(SR_demand_forecast!E204*Historical_Cost!#REF!,"-")</f>
        <v>-</v>
      </c>
      <c r="F153" s="81" t="str">
        <f>IFERROR(SR_demand_forecast!F204*Historical_Cost!#REF!,"-")</f>
        <v>-</v>
      </c>
      <c r="G153" s="81" t="str">
        <f>IFERROR(SR_demand_forecast!G204*Historical_Cost!#REF!,"-")</f>
        <v>-</v>
      </c>
      <c r="H153" s="81" t="str">
        <f>IFERROR(SR_demand_forecast!H204*Historical_Cost!#REF!,"-")</f>
        <v>-</v>
      </c>
      <c r="I153" s="81" t="str">
        <f>IFERROR(SR_demand_forecast!I204*Historical_Cost!#REF!,"-")</f>
        <v>-</v>
      </c>
      <c r="J153" s="81" t="str">
        <f>IFERROR(SR_demand_forecast!J204*Historical_Cost!#REF!,"-")</f>
        <v>-</v>
      </c>
      <c r="K153" s="81" t="str">
        <f>IFERROR(SR_demand_forecast!K204*Historical_Cost!#REF!,"-")</f>
        <v>-</v>
      </c>
      <c r="L153" s="81" t="str">
        <f>IFERROR(SR_demand_forecast!L204*Historical_Cost!#REF!,"-")</f>
        <v>-</v>
      </c>
      <c r="M153" s="81" t="str">
        <f>IFERROR(SR_demand_forecast!M204*Historical_Cost!#REF!,"-")</f>
        <v>-</v>
      </c>
      <c r="N153" s="81" t="str">
        <f>IFERROR(SR_demand_forecast!N204*Historical_Cost!#REF!,"-")</f>
        <v>-</v>
      </c>
      <c r="O153" s="81" t="str">
        <f>IFERROR(SR_demand_forecast!O204*Historical_Cost!#REF!,"-")</f>
        <v>-</v>
      </c>
      <c r="P153" s="81" t="str">
        <f>IFERROR(SR_demand_forecast!P204*Historical_Cost!#REF!,"-")</f>
        <v>-</v>
      </c>
      <c r="Q153" s="81" t="str">
        <f>IFERROR(SR_demand_forecast!Q204*Historical_Cost!#REF!,"-")</f>
        <v>-</v>
      </c>
      <c r="R153" s="81" t="str">
        <f>IFERROR(SR_demand_forecast!R204*Historical_Cost!#REF!,"-")</f>
        <v>-</v>
      </c>
      <c r="S153" s="81" t="str">
        <f>IFERROR(SR_demand_forecast!S204*Historical_Cost!#REF!,"-")</f>
        <v>-</v>
      </c>
      <c r="T153" s="81" t="str">
        <f>IFERROR(SR_demand_forecast!T204*Historical_Cost!#REF!,"-")</f>
        <v>-</v>
      </c>
      <c r="U153" s="81" t="str">
        <f>IFERROR(SR_demand_forecast!U204*Historical_Cost!#REF!,"-")</f>
        <v>-</v>
      </c>
      <c r="V153" s="81" t="str">
        <f>IFERROR(SR_demand_forecast!V204*Historical_Cost!#REF!,"-")</f>
        <v>-</v>
      </c>
    </row>
    <row r="154" spans="1:22" x14ac:dyDescent="0.3">
      <c r="A154" s="526"/>
      <c r="B154" s="33" t="s">
        <v>80</v>
      </c>
      <c r="C154" s="81" t="str">
        <f>IFERROR(SR_demand_forecast!C205*Historical_Cost!#REF!,"-")</f>
        <v>-</v>
      </c>
      <c r="D154" s="81" t="str">
        <f>IFERROR(SR_demand_forecast!D205*Historical_Cost!#REF!,"-")</f>
        <v>-</v>
      </c>
      <c r="E154" s="81" t="str">
        <f>IFERROR(SR_demand_forecast!E205*Historical_Cost!#REF!,"-")</f>
        <v>-</v>
      </c>
      <c r="F154" s="81" t="str">
        <f>IFERROR(SR_demand_forecast!F205*Historical_Cost!#REF!,"-")</f>
        <v>-</v>
      </c>
      <c r="G154" s="81" t="str">
        <f>IFERROR(SR_demand_forecast!G205*Historical_Cost!#REF!,"-")</f>
        <v>-</v>
      </c>
      <c r="H154" s="81" t="str">
        <f>IFERROR(SR_demand_forecast!H205*Historical_Cost!#REF!,"-")</f>
        <v>-</v>
      </c>
      <c r="I154" s="81" t="str">
        <f>IFERROR(SR_demand_forecast!I205*Historical_Cost!#REF!,"-")</f>
        <v>-</v>
      </c>
      <c r="J154" s="81" t="str">
        <f>IFERROR(SR_demand_forecast!J205*Historical_Cost!#REF!,"-")</f>
        <v>-</v>
      </c>
      <c r="K154" s="81" t="str">
        <f>IFERROR(SR_demand_forecast!K205*Historical_Cost!#REF!,"-")</f>
        <v>-</v>
      </c>
      <c r="L154" s="81" t="str">
        <f>IFERROR(SR_demand_forecast!L205*Historical_Cost!#REF!,"-")</f>
        <v>-</v>
      </c>
      <c r="M154" s="81" t="str">
        <f>IFERROR(SR_demand_forecast!M205*Historical_Cost!#REF!,"-")</f>
        <v>-</v>
      </c>
      <c r="N154" s="81" t="str">
        <f>IFERROR(SR_demand_forecast!N205*Historical_Cost!#REF!,"-")</f>
        <v>-</v>
      </c>
      <c r="O154" s="81" t="str">
        <f>IFERROR(SR_demand_forecast!O205*Historical_Cost!#REF!,"-")</f>
        <v>-</v>
      </c>
      <c r="P154" s="81" t="str">
        <f>IFERROR(SR_demand_forecast!P205*Historical_Cost!#REF!,"-")</f>
        <v>-</v>
      </c>
      <c r="Q154" s="81" t="str">
        <f>IFERROR(SR_demand_forecast!Q205*Historical_Cost!#REF!,"-")</f>
        <v>-</v>
      </c>
      <c r="R154" s="81" t="str">
        <f>IFERROR(SR_demand_forecast!R205*Historical_Cost!#REF!,"-")</f>
        <v>-</v>
      </c>
      <c r="S154" s="81" t="str">
        <f>IFERROR(SR_demand_forecast!S205*Historical_Cost!#REF!,"-")</f>
        <v>-</v>
      </c>
      <c r="T154" s="81" t="str">
        <f>IFERROR(SR_demand_forecast!T205*Historical_Cost!#REF!,"-")</f>
        <v>-</v>
      </c>
      <c r="U154" s="81" t="str">
        <f>IFERROR(SR_demand_forecast!U205*Historical_Cost!#REF!,"-")</f>
        <v>-</v>
      </c>
      <c r="V154" s="81" t="str">
        <f>IFERROR(SR_demand_forecast!V205*Historical_Cost!#REF!,"-")</f>
        <v>-</v>
      </c>
    </row>
    <row r="155" spans="1:22" x14ac:dyDescent="0.3">
      <c r="A155" s="526"/>
      <c r="B155" s="33" t="s">
        <v>44</v>
      </c>
      <c r="C155" s="81" t="str">
        <f>IFERROR(SR_demand_forecast!C206*Historical_Cost!#REF!,"-")</f>
        <v>-</v>
      </c>
      <c r="D155" s="81" t="str">
        <f>IFERROR(SR_demand_forecast!D206*Historical_Cost!#REF!,"-")</f>
        <v>-</v>
      </c>
      <c r="E155" s="81" t="str">
        <f>IFERROR(SR_demand_forecast!E206*Historical_Cost!#REF!,"-")</f>
        <v>-</v>
      </c>
      <c r="F155" s="81" t="str">
        <f>IFERROR(SR_demand_forecast!F206*Historical_Cost!#REF!,"-")</f>
        <v>-</v>
      </c>
      <c r="G155" s="81" t="str">
        <f>IFERROR(SR_demand_forecast!G206*Historical_Cost!#REF!,"-")</f>
        <v>-</v>
      </c>
      <c r="H155" s="81" t="str">
        <f>IFERROR(SR_demand_forecast!H206*Historical_Cost!#REF!,"-")</f>
        <v>-</v>
      </c>
      <c r="I155" s="81" t="str">
        <f>IFERROR(SR_demand_forecast!I206*Historical_Cost!#REF!,"-")</f>
        <v>-</v>
      </c>
      <c r="J155" s="81" t="str">
        <f>IFERROR(SR_demand_forecast!J206*Historical_Cost!#REF!,"-")</f>
        <v>-</v>
      </c>
      <c r="K155" s="81" t="str">
        <f>IFERROR(SR_demand_forecast!K206*Historical_Cost!#REF!,"-")</f>
        <v>-</v>
      </c>
      <c r="L155" s="81" t="str">
        <f>IFERROR(SR_demand_forecast!L206*Historical_Cost!#REF!,"-")</f>
        <v>-</v>
      </c>
      <c r="M155" s="81" t="str">
        <f>IFERROR(SR_demand_forecast!M206*Historical_Cost!#REF!,"-")</f>
        <v>-</v>
      </c>
      <c r="N155" s="81" t="str">
        <f>IFERROR(SR_demand_forecast!N206*Historical_Cost!#REF!,"-")</f>
        <v>-</v>
      </c>
      <c r="O155" s="81" t="str">
        <f>IFERROR(SR_demand_forecast!O206*Historical_Cost!#REF!,"-")</f>
        <v>-</v>
      </c>
      <c r="P155" s="81" t="str">
        <f>IFERROR(SR_demand_forecast!P206*Historical_Cost!#REF!,"-")</f>
        <v>-</v>
      </c>
      <c r="Q155" s="81" t="str">
        <f>IFERROR(SR_demand_forecast!Q206*Historical_Cost!#REF!,"-")</f>
        <v>-</v>
      </c>
      <c r="R155" s="81" t="str">
        <f>IFERROR(SR_demand_forecast!R206*Historical_Cost!#REF!,"-")</f>
        <v>-</v>
      </c>
      <c r="S155" s="81" t="str">
        <f>IFERROR(SR_demand_forecast!S206*Historical_Cost!#REF!,"-")</f>
        <v>-</v>
      </c>
      <c r="T155" s="81" t="str">
        <f>IFERROR(SR_demand_forecast!T206*Historical_Cost!#REF!,"-")</f>
        <v>-</v>
      </c>
      <c r="U155" s="81" t="str">
        <f>IFERROR(SR_demand_forecast!U206*Historical_Cost!#REF!,"-")</f>
        <v>-</v>
      </c>
      <c r="V155" s="81" t="str">
        <f>IFERROR(SR_demand_forecast!V206*Historical_Cost!#REF!,"-")</f>
        <v>-</v>
      </c>
    </row>
    <row r="156" spans="1:22" x14ac:dyDescent="0.3">
      <c r="A156" s="526"/>
      <c r="B156" s="33" t="s">
        <v>81</v>
      </c>
      <c r="C156" s="81" t="str">
        <f>IFERROR(SR_demand_forecast!C207*Historical_Cost!#REF!,"-")</f>
        <v>-</v>
      </c>
      <c r="D156" s="81" t="str">
        <f>IFERROR(SR_demand_forecast!D207*Historical_Cost!#REF!,"-")</f>
        <v>-</v>
      </c>
      <c r="E156" s="81" t="str">
        <f>IFERROR(SR_demand_forecast!E207*Historical_Cost!#REF!,"-")</f>
        <v>-</v>
      </c>
      <c r="F156" s="81" t="str">
        <f>IFERROR(SR_demand_forecast!F207*Historical_Cost!#REF!,"-")</f>
        <v>-</v>
      </c>
      <c r="G156" s="81" t="str">
        <f>IFERROR(SR_demand_forecast!G207*Historical_Cost!#REF!,"-")</f>
        <v>-</v>
      </c>
      <c r="H156" s="81" t="str">
        <f>IFERROR(SR_demand_forecast!H207*Historical_Cost!#REF!,"-")</f>
        <v>-</v>
      </c>
      <c r="I156" s="81" t="str">
        <f>IFERROR(SR_demand_forecast!I207*Historical_Cost!#REF!,"-")</f>
        <v>-</v>
      </c>
      <c r="J156" s="81" t="str">
        <f>IFERROR(SR_demand_forecast!J207*Historical_Cost!#REF!,"-")</f>
        <v>-</v>
      </c>
      <c r="K156" s="81" t="str">
        <f>IFERROR(SR_demand_forecast!K207*Historical_Cost!#REF!,"-")</f>
        <v>-</v>
      </c>
      <c r="L156" s="81" t="str">
        <f>IFERROR(SR_demand_forecast!L207*Historical_Cost!#REF!,"-")</f>
        <v>-</v>
      </c>
      <c r="M156" s="81" t="str">
        <f>IFERROR(SR_demand_forecast!M207*Historical_Cost!#REF!,"-")</f>
        <v>-</v>
      </c>
      <c r="N156" s="81" t="str">
        <f>IFERROR(SR_demand_forecast!N207*Historical_Cost!#REF!,"-")</f>
        <v>-</v>
      </c>
      <c r="O156" s="81" t="str">
        <f>IFERROR(SR_demand_forecast!O207*Historical_Cost!#REF!,"-")</f>
        <v>-</v>
      </c>
      <c r="P156" s="81" t="str">
        <f>IFERROR(SR_demand_forecast!P207*Historical_Cost!#REF!,"-")</f>
        <v>-</v>
      </c>
      <c r="Q156" s="81" t="str">
        <f>IFERROR(SR_demand_forecast!Q207*Historical_Cost!#REF!,"-")</f>
        <v>-</v>
      </c>
      <c r="R156" s="81" t="str">
        <f>IFERROR(SR_demand_forecast!R207*Historical_Cost!#REF!,"-")</f>
        <v>-</v>
      </c>
      <c r="S156" s="81" t="str">
        <f>IFERROR(SR_demand_forecast!S207*Historical_Cost!#REF!,"-")</f>
        <v>-</v>
      </c>
      <c r="T156" s="81" t="str">
        <f>IFERROR(SR_demand_forecast!T207*Historical_Cost!#REF!,"-")</f>
        <v>-</v>
      </c>
      <c r="U156" s="81" t="str">
        <f>IFERROR(SR_demand_forecast!U207*Historical_Cost!#REF!,"-")</f>
        <v>-</v>
      </c>
      <c r="V156" s="81" t="str">
        <f>IFERROR(SR_demand_forecast!V207*Historical_Cost!#REF!,"-")</f>
        <v>-</v>
      </c>
    </row>
    <row r="157" spans="1:22" x14ac:dyDescent="0.3">
      <c r="A157" s="526"/>
      <c r="B157" s="33" t="s">
        <v>42</v>
      </c>
      <c r="C157" s="81" t="str">
        <f>IFERROR(SR_demand_forecast!C208*Historical_Cost!#REF!,"-")</f>
        <v>-</v>
      </c>
      <c r="D157" s="81" t="str">
        <f>IFERROR(SR_demand_forecast!D208*Historical_Cost!#REF!,"-")</f>
        <v>-</v>
      </c>
      <c r="E157" s="81" t="str">
        <f>IFERROR(SR_demand_forecast!E208*Historical_Cost!#REF!,"-")</f>
        <v>-</v>
      </c>
      <c r="F157" s="81" t="str">
        <f>IFERROR(SR_demand_forecast!F208*Historical_Cost!#REF!,"-")</f>
        <v>-</v>
      </c>
      <c r="G157" s="81" t="str">
        <f>IFERROR(SR_demand_forecast!G208*Historical_Cost!#REF!,"-")</f>
        <v>-</v>
      </c>
      <c r="H157" s="81" t="str">
        <f>IFERROR(SR_demand_forecast!H208*Historical_Cost!#REF!,"-")</f>
        <v>-</v>
      </c>
      <c r="I157" s="81" t="str">
        <f>IFERROR(SR_demand_forecast!I208*Historical_Cost!#REF!,"-")</f>
        <v>-</v>
      </c>
      <c r="J157" s="81" t="str">
        <f>IFERROR(SR_demand_forecast!J208*Historical_Cost!#REF!,"-")</f>
        <v>-</v>
      </c>
      <c r="K157" s="81" t="str">
        <f>IFERROR(SR_demand_forecast!K208*Historical_Cost!#REF!,"-")</f>
        <v>-</v>
      </c>
      <c r="L157" s="81" t="str">
        <f>IFERROR(SR_demand_forecast!L208*Historical_Cost!#REF!,"-")</f>
        <v>-</v>
      </c>
      <c r="M157" s="81" t="str">
        <f>IFERROR(SR_demand_forecast!M208*Historical_Cost!#REF!,"-")</f>
        <v>-</v>
      </c>
      <c r="N157" s="81" t="str">
        <f>IFERROR(SR_demand_forecast!N208*Historical_Cost!#REF!,"-")</f>
        <v>-</v>
      </c>
      <c r="O157" s="81" t="str">
        <f>IFERROR(SR_demand_forecast!O208*Historical_Cost!#REF!,"-")</f>
        <v>-</v>
      </c>
      <c r="P157" s="81" t="str">
        <f>IFERROR(SR_demand_forecast!P208*Historical_Cost!#REF!,"-")</f>
        <v>-</v>
      </c>
      <c r="Q157" s="81" t="str">
        <f>IFERROR(SR_demand_forecast!Q208*Historical_Cost!#REF!,"-")</f>
        <v>-</v>
      </c>
      <c r="R157" s="81" t="str">
        <f>IFERROR(SR_demand_forecast!R208*Historical_Cost!#REF!,"-")</f>
        <v>-</v>
      </c>
      <c r="S157" s="81" t="str">
        <f>IFERROR(SR_demand_forecast!S208*Historical_Cost!#REF!,"-")</f>
        <v>-</v>
      </c>
      <c r="T157" s="81" t="str">
        <f>IFERROR(SR_demand_forecast!T208*Historical_Cost!#REF!,"-")</f>
        <v>-</v>
      </c>
      <c r="U157" s="81" t="str">
        <f>IFERROR(SR_demand_forecast!U208*Historical_Cost!#REF!,"-")</f>
        <v>-</v>
      </c>
      <c r="V157" s="81" t="str">
        <f>IFERROR(SR_demand_forecast!V208*Historical_Cost!#REF!,"-")</f>
        <v>-</v>
      </c>
    </row>
    <row r="158" spans="1:22" x14ac:dyDescent="0.3">
      <c r="A158" s="526"/>
      <c r="B158" s="33" t="s">
        <v>45</v>
      </c>
      <c r="C158" s="81" t="str">
        <f>IFERROR(SR_demand_forecast!C209*Historical_Cost!#REF!,"-")</f>
        <v>-</v>
      </c>
      <c r="D158" s="81" t="str">
        <f>IFERROR(SR_demand_forecast!D209*Historical_Cost!#REF!,"-")</f>
        <v>-</v>
      </c>
      <c r="E158" s="81" t="str">
        <f>IFERROR(SR_demand_forecast!E209*Historical_Cost!#REF!,"-")</f>
        <v>-</v>
      </c>
      <c r="F158" s="81" t="str">
        <f>IFERROR(SR_demand_forecast!F209*Historical_Cost!#REF!,"-")</f>
        <v>-</v>
      </c>
      <c r="G158" s="81" t="str">
        <f>IFERROR(SR_demand_forecast!G209*Historical_Cost!#REF!,"-")</f>
        <v>-</v>
      </c>
      <c r="H158" s="81" t="str">
        <f>IFERROR(SR_demand_forecast!H209*Historical_Cost!#REF!,"-")</f>
        <v>-</v>
      </c>
      <c r="I158" s="81" t="str">
        <f>IFERROR(SR_demand_forecast!I209*Historical_Cost!#REF!,"-")</f>
        <v>-</v>
      </c>
      <c r="J158" s="81" t="str">
        <f>IFERROR(SR_demand_forecast!J209*Historical_Cost!#REF!,"-")</f>
        <v>-</v>
      </c>
      <c r="K158" s="81" t="str">
        <f>IFERROR(SR_demand_forecast!K209*Historical_Cost!#REF!,"-")</f>
        <v>-</v>
      </c>
      <c r="L158" s="81" t="str">
        <f>IFERROR(SR_demand_forecast!L209*Historical_Cost!#REF!,"-")</f>
        <v>-</v>
      </c>
      <c r="M158" s="81" t="str">
        <f>IFERROR(SR_demand_forecast!M209*Historical_Cost!#REF!,"-")</f>
        <v>-</v>
      </c>
      <c r="N158" s="81" t="str">
        <f>IFERROR(SR_demand_forecast!N209*Historical_Cost!#REF!,"-")</f>
        <v>-</v>
      </c>
      <c r="O158" s="81" t="str">
        <f>IFERROR(SR_demand_forecast!O209*Historical_Cost!#REF!,"-")</f>
        <v>-</v>
      </c>
      <c r="P158" s="81" t="str">
        <f>IFERROR(SR_demand_forecast!P209*Historical_Cost!#REF!,"-")</f>
        <v>-</v>
      </c>
      <c r="Q158" s="81" t="str">
        <f>IFERROR(SR_demand_forecast!Q209*Historical_Cost!#REF!,"-")</f>
        <v>-</v>
      </c>
      <c r="R158" s="81" t="str">
        <f>IFERROR(SR_demand_forecast!R209*Historical_Cost!#REF!,"-")</f>
        <v>-</v>
      </c>
      <c r="S158" s="81" t="str">
        <f>IFERROR(SR_demand_forecast!S209*Historical_Cost!#REF!,"-")</f>
        <v>-</v>
      </c>
      <c r="T158" s="81" t="str">
        <f>IFERROR(SR_demand_forecast!T209*Historical_Cost!#REF!,"-")</f>
        <v>-</v>
      </c>
      <c r="U158" s="81" t="str">
        <f>IFERROR(SR_demand_forecast!U209*Historical_Cost!#REF!,"-")</f>
        <v>-</v>
      </c>
      <c r="V158" s="81" t="str">
        <f>IFERROR(SR_demand_forecast!V209*Historical_Cost!#REF!,"-")</f>
        <v>-</v>
      </c>
    </row>
    <row r="159" spans="1:22" x14ac:dyDescent="0.3">
      <c r="A159" s="526"/>
      <c r="B159" s="33" t="s">
        <v>84</v>
      </c>
      <c r="C159" s="128">
        <f t="shared" ref="C159:V159" si="8">SUM(C151:C158)</f>
        <v>0</v>
      </c>
      <c r="D159" s="128">
        <f t="shared" si="8"/>
        <v>0</v>
      </c>
      <c r="E159" s="128">
        <f t="shared" si="8"/>
        <v>0</v>
      </c>
      <c r="F159" s="128">
        <f t="shared" si="8"/>
        <v>0</v>
      </c>
      <c r="G159" s="128">
        <f t="shared" si="8"/>
        <v>0</v>
      </c>
      <c r="H159" s="128">
        <f t="shared" si="8"/>
        <v>0</v>
      </c>
      <c r="I159" s="128">
        <f t="shared" si="8"/>
        <v>0</v>
      </c>
      <c r="J159" s="128">
        <f t="shared" si="8"/>
        <v>0</v>
      </c>
      <c r="K159" s="128">
        <f t="shared" si="8"/>
        <v>0</v>
      </c>
      <c r="L159" s="128">
        <f t="shared" si="8"/>
        <v>0</v>
      </c>
      <c r="M159" s="128">
        <f t="shared" si="8"/>
        <v>0</v>
      </c>
      <c r="N159" s="128">
        <f t="shared" si="8"/>
        <v>0</v>
      </c>
      <c r="O159" s="128">
        <f t="shared" si="8"/>
        <v>0</v>
      </c>
      <c r="P159" s="128">
        <f t="shared" si="8"/>
        <v>0</v>
      </c>
      <c r="Q159" s="128">
        <f t="shared" si="8"/>
        <v>0</v>
      </c>
      <c r="R159" s="128">
        <f t="shared" si="8"/>
        <v>0</v>
      </c>
      <c r="S159" s="128">
        <f t="shared" si="8"/>
        <v>0</v>
      </c>
      <c r="T159" s="128">
        <f t="shared" si="8"/>
        <v>0</v>
      </c>
      <c r="U159" s="128">
        <f t="shared" si="8"/>
        <v>0</v>
      </c>
      <c r="V159" s="128">
        <f t="shared" si="8"/>
        <v>0</v>
      </c>
    </row>
    <row r="160" spans="1:22" x14ac:dyDescent="0.3">
      <c r="A160" s="526"/>
    </row>
    <row r="161" spans="1:22" x14ac:dyDescent="0.3">
      <c r="A161" s="526"/>
    </row>
    <row r="162" spans="1:22" x14ac:dyDescent="0.3">
      <c r="A162" s="526"/>
    </row>
    <row r="163" spans="1:22" x14ac:dyDescent="0.3">
      <c r="A163" s="526"/>
    </row>
    <row r="164" spans="1:22" x14ac:dyDescent="0.3">
      <c r="A164" s="526"/>
    </row>
    <row r="165" spans="1:22" x14ac:dyDescent="0.3">
      <c r="A165" s="526"/>
    </row>
    <row r="166" spans="1:22" x14ac:dyDescent="0.3">
      <c r="A166" s="526"/>
    </row>
    <row r="167" spans="1:22" x14ac:dyDescent="0.3">
      <c r="A167" s="526"/>
    </row>
    <row r="168" spans="1:22" x14ac:dyDescent="0.3">
      <c r="A168" s="526"/>
    </row>
    <row r="169" spans="1:22" x14ac:dyDescent="0.3">
      <c r="A169" s="525">
        <v>0.8</v>
      </c>
      <c r="B169" s="35" t="s">
        <v>162</v>
      </c>
      <c r="L169" s="20"/>
      <c r="M169" s="20"/>
    </row>
    <row r="170" spans="1:22" x14ac:dyDescent="0.3">
      <c r="A170" s="526"/>
      <c r="B170" s="78" t="s">
        <v>82</v>
      </c>
      <c r="C170" s="78">
        <v>2021</v>
      </c>
      <c r="D170" s="79">
        <v>2022</v>
      </c>
      <c r="E170" s="78">
        <v>2023</v>
      </c>
      <c r="F170" s="79">
        <v>2024</v>
      </c>
      <c r="G170" s="78">
        <v>2025</v>
      </c>
      <c r="H170" s="79">
        <v>2026</v>
      </c>
      <c r="I170" s="78">
        <v>2027</v>
      </c>
      <c r="J170" s="79">
        <v>2028</v>
      </c>
      <c r="K170" s="78">
        <v>2029</v>
      </c>
      <c r="L170" s="79">
        <v>2030</v>
      </c>
      <c r="M170" s="78">
        <v>2031</v>
      </c>
      <c r="N170" s="79">
        <v>2032</v>
      </c>
      <c r="O170" s="78">
        <v>2033</v>
      </c>
      <c r="P170" s="79">
        <v>2034</v>
      </c>
      <c r="Q170" s="78">
        <v>2035</v>
      </c>
      <c r="R170" s="79">
        <v>2036</v>
      </c>
      <c r="S170" s="78">
        <v>2037</v>
      </c>
      <c r="T170" s="79">
        <v>2038</v>
      </c>
      <c r="U170" s="78">
        <v>2039</v>
      </c>
      <c r="V170" s="79">
        <v>2040</v>
      </c>
    </row>
    <row r="171" spans="1:22" x14ac:dyDescent="0.3">
      <c r="A171" s="526"/>
      <c r="B171" s="33" t="s">
        <v>43</v>
      </c>
      <c r="C171" s="81" t="str">
        <f>IFERROR(SR_demand_forecast!C56*Historical_Cost!#REF!,"-")</f>
        <v>-</v>
      </c>
      <c r="D171" s="81" t="str">
        <f>IFERROR(SR_demand_forecast!D56*Historical_Cost!#REF!,"-")</f>
        <v>-</v>
      </c>
      <c r="E171" s="81" t="str">
        <f>IFERROR(SR_demand_forecast!E56*Historical_Cost!#REF!,"-")</f>
        <v>-</v>
      </c>
      <c r="F171" s="81" t="str">
        <f>IFERROR(SR_demand_forecast!F56*Historical_Cost!#REF!,"-")</f>
        <v>-</v>
      </c>
      <c r="G171" s="81" t="str">
        <f>IFERROR(SR_demand_forecast!G56*Historical_Cost!#REF!,"-")</f>
        <v>-</v>
      </c>
      <c r="H171" s="81" t="str">
        <f>IFERROR(SR_demand_forecast!H56*Historical_Cost!#REF!,"-")</f>
        <v>-</v>
      </c>
      <c r="I171" s="81" t="str">
        <f>IFERROR(SR_demand_forecast!I56*Historical_Cost!#REF!,"-")</f>
        <v>-</v>
      </c>
      <c r="J171" s="81" t="str">
        <f>IFERROR(SR_demand_forecast!J56*Historical_Cost!#REF!,"-")</f>
        <v>-</v>
      </c>
      <c r="K171" s="81" t="str">
        <f>IFERROR(SR_demand_forecast!K56*Historical_Cost!#REF!,"-")</f>
        <v>-</v>
      </c>
      <c r="L171" s="81" t="str">
        <f>IFERROR(SR_demand_forecast!L56*Historical_Cost!#REF!,"-")</f>
        <v>-</v>
      </c>
      <c r="M171" s="81" t="str">
        <f>IFERROR(SR_demand_forecast!M56*Historical_Cost!#REF!,"-")</f>
        <v>-</v>
      </c>
      <c r="N171" s="81" t="str">
        <f>IFERROR(SR_demand_forecast!N56*Historical_Cost!#REF!,"-")</f>
        <v>-</v>
      </c>
      <c r="O171" s="81" t="str">
        <f>IFERROR(SR_demand_forecast!O56*Historical_Cost!#REF!,"-")</f>
        <v>-</v>
      </c>
      <c r="P171" s="81" t="str">
        <f>IFERROR(SR_demand_forecast!P56*Historical_Cost!#REF!,"-")</f>
        <v>-</v>
      </c>
      <c r="Q171" s="81" t="str">
        <f>IFERROR(SR_demand_forecast!Q56*Historical_Cost!#REF!,"-")</f>
        <v>-</v>
      </c>
      <c r="R171" s="81" t="str">
        <f>IFERROR(SR_demand_forecast!R56*Historical_Cost!#REF!,"-")</f>
        <v>-</v>
      </c>
      <c r="S171" s="81" t="str">
        <f>IFERROR(SR_demand_forecast!S56*Historical_Cost!#REF!,"-")</f>
        <v>-</v>
      </c>
      <c r="T171" s="81" t="str">
        <f>IFERROR(SR_demand_forecast!T56*Historical_Cost!#REF!,"-")</f>
        <v>-</v>
      </c>
      <c r="U171" s="81" t="str">
        <f>IFERROR(SR_demand_forecast!U56*Historical_Cost!#REF!,"-")</f>
        <v>-</v>
      </c>
      <c r="V171" s="81" t="str">
        <f>IFERROR(SR_demand_forecast!V56*Historical_Cost!#REF!,"-")</f>
        <v>-</v>
      </c>
    </row>
    <row r="172" spans="1:22" x14ac:dyDescent="0.3">
      <c r="A172" s="526"/>
      <c r="B172" s="33" t="s">
        <v>41</v>
      </c>
      <c r="C172" s="81" t="str">
        <f>IFERROR(SR_demand_forecast!C57*Historical_Cost!#REF!,"-")</f>
        <v>-</v>
      </c>
      <c r="D172" s="81" t="str">
        <f>IFERROR(SR_demand_forecast!D57*Historical_Cost!#REF!,"-")</f>
        <v>-</v>
      </c>
      <c r="E172" s="81" t="str">
        <f>IFERROR(SR_demand_forecast!E57*Historical_Cost!#REF!,"-")</f>
        <v>-</v>
      </c>
      <c r="F172" s="81" t="str">
        <f>IFERROR(SR_demand_forecast!F57*Historical_Cost!#REF!,"-")</f>
        <v>-</v>
      </c>
      <c r="G172" s="81" t="str">
        <f>IFERROR(SR_demand_forecast!G57*Historical_Cost!#REF!,"-")</f>
        <v>-</v>
      </c>
      <c r="H172" s="81" t="str">
        <f>IFERROR(SR_demand_forecast!H57*Historical_Cost!#REF!,"-")</f>
        <v>-</v>
      </c>
      <c r="I172" s="81" t="str">
        <f>IFERROR(SR_demand_forecast!I57*Historical_Cost!#REF!,"-")</f>
        <v>-</v>
      </c>
      <c r="J172" s="81" t="str">
        <f>IFERROR(SR_demand_forecast!J57*Historical_Cost!#REF!,"-")</f>
        <v>-</v>
      </c>
      <c r="K172" s="81" t="str">
        <f>IFERROR(SR_demand_forecast!K57*Historical_Cost!#REF!,"-")</f>
        <v>-</v>
      </c>
      <c r="L172" s="81" t="str">
        <f>IFERROR(SR_demand_forecast!L57*Historical_Cost!#REF!,"-")</f>
        <v>-</v>
      </c>
      <c r="M172" s="81" t="str">
        <f>IFERROR(SR_demand_forecast!M57*Historical_Cost!#REF!,"-")</f>
        <v>-</v>
      </c>
      <c r="N172" s="81" t="str">
        <f>IFERROR(SR_demand_forecast!N57*Historical_Cost!#REF!,"-")</f>
        <v>-</v>
      </c>
      <c r="O172" s="81" t="str">
        <f>IFERROR(SR_demand_forecast!O57*Historical_Cost!#REF!,"-")</f>
        <v>-</v>
      </c>
      <c r="P172" s="81" t="str">
        <f>IFERROR(SR_demand_forecast!P57*Historical_Cost!#REF!,"-")</f>
        <v>-</v>
      </c>
      <c r="Q172" s="81" t="str">
        <f>IFERROR(SR_demand_forecast!Q57*Historical_Cost!#REF!,"-")</f>
        <v>-</v>
      </c>
      <c r="R172" s="81" t="str">
        <f>IFERROR(SR_demand_forecast!R57*Historical_Cost!#REF!,"-")</f>
        <v>-</v>
      </c>
      <c r="S172" s="81" t="str">
        <f>IFERROR(SR_demand_forecast!S57*Historical_Cost!#REF!,"-")</f>
        <v>-</v>
      </c>
      <c r="T172" s="81" t="str">
        <f>IFERROR(SR_demand_forecast!T57*Historical_Cost!#REF!,"-")</f>
        <v>-</v>
      </c>
      <c r="U172" s="81" t="str">
        <f>IFERROR(SR_demand_forecast!U57*Historical_Cost!#REF!,"-")</f>
        <v>-</v>
      </c>
      <c r="V172" s="81" t="str">
        <f>IFERROR(SR_demand_forecast!V57*Historical_Cost!#REF!,"-")</f>
        <v>-</v>
      </c>
    </row>
    <row r="173" spans="1:22" x14ac:dyDescent="0.3">
      <c r="A173" s="526"/>
      <c r="B173" s="33" t="s">
        <v>40</v>
      </c>
      <c r="C173" s="81" t="str">
        <f>IFERROR(SR_demand_forecast!C58*Historical_Cost!#REF!,"-")</f>
        <v>-</v>
      </c>
      <c r="D173" s="81" t="str">
        <f>IFERROR(SR_demand_forecast!D58*Historical_Cost!#REF!,"-")</f>
        <v>-</v>
      </c>
      <c r="E173" s="81" t="str">
        <f>IFERROR(SR_demand_forecast!E58*Historical_Cost!#REF!,"-")</f>
        <v>-</v>
      </c>
      <c r="F173" s="81" t="str">
        <f>IFERROR(SR_demand_forecast!F58*Historical_Cost!#REF!,"-")</f>
        <v>-</v>
      </c>
      <c r="G173" s="81" t="str">
        <f>IFERROR(SR_demand_forecast!G58*Historical_Cost!#REF!,"-")</f>
        <v>-</v>
      </c>
      <c r="H173" s="81" t="str">
        <f>IFERROR(SR_demand_forecast!H58*Historical_Cost!#REF!,"-")</f>
        <v>-</v>
      </c>
      <c r="I173" s="81" t="str">
        <f>IFERROR(SR_demand_forecast!I58*Historical_Cost!#REF!,"-")</f>
        <v>-</v>
      </c>
      <c r="J173" s="81" t="str">
        <f>IFERROR(SR_demand_forecast!J58*Historical_Cost!#REF!,"-")</f>
        <v>-</v>
      </c>
      <c r="K173" s="81" t="str">
        <f>IFERROR(SR_demand_forecast!K58*Historical_Cost!#REF!,"-")</f>
        <v>-</v>
      </c>
      <c r="L173" s="81" t="str">
        <f>IFERROR(SR_demand_forecast!L58*Historical_Cost!#REF!,"-")</f>
        <v>-</v>
      </c>
      <c r="M173" s="81" t="str">
        <f>IFERROR(SR_demand_forecast!M58*Historical_Cost!#REF!,"-")</f>
        <v>-</v>
      </c>
      <c r="N173" s="81" t="str">
        <f>IFERROR(SR_demand_forecast!N58*Historical_Cost!#REF!,"-")</f>
        <v>-</v>
      </c>
      <c r="O173" s="81" t="str">
        <f>IFERROR(SR_demand_forecast!O58*Historical_Cost!#REF!,"-")</f>
        <v>-</v>
      </c>
      <c r="P173" s="81" t="str">
        <f>IFERROR(SR_demand_forecast!P58*Historical_Cost!#REF!,"-")</f>
        <v>-</v>
      </c>
      <c r="Q173" s="81" t="str">
        <f>IFERROR(SR_demand_forecast!Q58*Historical_Cost!#REF!,"-")</f>
        <v>-</v>
      </c>
      <c r="R173" s="81" t="str">
        <f>IFERROR(SR_demand_forecast!R58*Historical_Cost!#REF!,"-")</f>
        <v>-</v>
      </c>
      <c r="S173" s="81" t="str">
        <f>IFERROR(SR_demand_forecast!S58*Historical_Cost!#REF!,"-")</f>
        <v>-</v>
      </c>
      <c r="T173" s="81" t="str">
        <f>IFERROR(SR_demand_forecast!T58*Historical_Cost!#REF!,"-")</f>
        <v>-</v>
      </c>
      <c r="U173" s="81" t="str">
        <f>IFERROR(SR_demand_forecast!U58*Historical_Cost!#REF!,"-")</f>
        <v>-</v>
      </c>
      <c r="V173" s="81" t="str">
        <f>IFERROR(SR_demand_forecast!V58*Historical_Cost!#REF!,"-")</f>
        <v>-</v>
      </c>
    </row>
    <row r="174" spans="1:22" x14ac:dyDescent="0.3">
      <c r="A174" s="526"/>
      <c r="B174" s="33" t="s">
        <v>80</v>
      </c>
      <c r="C174" s="81" t="str">
        <f>IFERROR(SR_demand_forecast!C59*Historical_Cost!#REF!,"-")</f>
        <v>-</v>
      </c>
      <c r="D174" s="81" t="str">
        <f>IFERROR(SR_demand_forecast!D59*Historical_Cost!#REF!,"-")</f>
        <v>-</v>
      </c>
      <c r="E174" s="81" t="str">
        <f>IFERROR(SR_demand_forecast!E59*Historical_Cost!#REF!,"-")</f>
        <v>-</v>
      </c>
      <c r="F174" s="81" t="str">
        <f>IFERROR(SR_demand_forecast!F59*Historical_Cost!#REF!,"-")</f>
        <v>-</v>
      </c>
      <c r="G174" s="81" t="str">
        <f>IFERROR(SR_demand_forecast!G59*Historical_Cost!#REF!,"-")</f>
        <v>-</v>
      </c>
      <c r="H174" s="81" t="str">
        <f>IFERROR(SR_demand_forecast!H59*Historical_Cost!#REF!,"-")</f>
        <v>-</v>
      </c>
      <c r="I174" s="81" t="str">
        <f>IFERROR(SR_demand_forecast!I59*Historical_Cost!#REF!,"-")</f>
        <v>-</v>
      </c>
      <c r="J174" s="81" t="str">
        <f>IFERROR(SR_demand_forecast!J59*Historical_Cost!#REF!,"-")</f>
        <v>-</v>
      </c>
      <c r="K174" s="81" t="str">
        <f>IFERROR(SR_demand_forecast!K59*Historical_Cost!#REF!,"-")</f>
        <v>-</v>
      </c>
      <c r="L174" s="81" t="str">
        <f>IFERROR(SR_demand_forecast!L59*Historical_Cost!#REF!,"-")</f>
        <v>-</v>
      </c>
      <c r="M174" s="81" t="str">
        <f>IFERROR(SR_demand_forecast!M59*Historical_Cost!#REF!,"-")</f>
        <v>-</v>
      </c>
      <c r="N174" s="81" t="str">
        <f>IFERROR(SR_demand_forecast!N59*Historical_Cost!#REF!,"-")</f>
        <v>-</v>
      </c>
      <c r="O174" s="81" t="str">
        <f>IFERROR(SR_demand_forecast!O59*Historical_Cost!#REF!,"-")</f>
        <v>-</v>
      </c>
      <c r="P174" s="81" t="str">
        <f>IFERROR(SR_demand_forecast!P59*Historical_Cost!#REF!,"-")</f>
        <v>-</v>
      </c>
      <c r="Q174" s="81" t="str">
        <f>IFERROR(SR_demand_forecast!Q59*Historical_Cost!#REF!,"-")</f>
        <v>-</v>
      </c>
      <c r="R174" s="81" t="str">
        <f>IFERROR(SR_demand_forecast!R59*Historical_Cost!#REF!,"-")</f>
        <v>-</v>
      </c>
      <c r="S174" s="81" t="str">
        <f>IFERROR(SR_demand_forecast!S59*Historical_Cost!#REF!,"-")</f>
        <v>-</v>
      </c>
      <c r="T174" s="81" t="str">
        <f>IFERROR(SR_demand_forecast!T59*Historical_Cost!#REF!,"-")</f>
        <v>-</v>
      </c>
      <c r="U174" s="81" t="str">
        <f>IFERROR(SR_demand_forecast!U59*Historical_Cost!#REF!,"-")</f>
        <v>-</v>
      </c>
      <c r="V174" s="81" t="str">
        <f>IFERROR(SR_demand_forecast!V59*Historical_Cost!#REF!,"-")</f>
        <v>-</v>
      </c>
    </row>
    <row r="175" spans="1:22" x14ac:dyDescent="0.3">
      <c r="A175" s="526"/>
      <c r="B175" s="33" t="s">
        <v>44</v>
      </c>
      <c r="C175" s="81" t="str">
        <f>IFERROR(SR_demand_forecast!C60*Historical_Cost!#REF!,"-")</f>
        <v>-</v>
      </c>
      <c r="D175" s="81" t="str">
        <f>IFERROR(SR_demand_forecast!D60*Historical_Cost!#REF!,"-")</f>
        <v>-</v>
      </c>
      <c r="E175" s="81" t="str">
        <f>IFERROR(SR_demand_forecast!E60*Historical_Cost!#REF!,"-")</f>
        <v>-</v>
      </c>
      <c r="F175" s="81" t="str">
        <f>IFERROR(SR_demand_forecast!F60*Historical_Cost!#REF!,"-")</f>
        <v>-</v>
      </c>
      <c r="G175" s="81" t="str">
        <f>IFERROR(SR_demand_forecast!G60*Historical_Cost!#REF!,"-")</f>
        <v>-</v>
      </c>
      <c r="H175" s="81" t="str">
        <f>IFERROR(SR_demand_forecast!H60*Historical_Cost!#REF!,"-")</f>
        <v>-</v>
      </c>
      <c r="I175" s="81" t="str">
        <f>IFERROR(SR_demand_forecast!I60*Historical_Cost!#REF!,"-")</f>
        <v>-</v>
      </c>
      <c r="J175" s="81" t="str">
        <f>IFERROR(SR_demand_forecast!J60*Historical_Cost!#REF!,"-")</f>
        <v>-</v>
      </c>
      <c r="K175" s="81" t="str">
        <f>IFERROR(SR_demand_forecast!K60*Historical_Cost!#REF!,"-")</f>
        <v>-</v>
      </c>
      <c r="L175" s="81" t="str">
        <f>IFERROR(SR_demand_forecast!L60*Historical_Cost!#REF!,"-")</f>
        <v>-</v>
      </c>
      <c r="M175" s="81" t="str">
        <f>IFERROR(SR_demand_forecast!M60*Historical_Cost!#REF!,"-")</f>
        <v>-</v>
      </c>
      <c r="N175" s="81" t="str">
        <f>IFERROR(SR_demand_forecast!N60*Historical_Cost!#REF!,"-")</f>
        <v>-</v>
      </c>
      <c r="O175" s="81" t="str">
        <f>IFERROR(SR_demand_forecast!O60*Historical_Cost!#REF!,"-")</f>
        <v>-</v>
      </c>
      <c r="P175" s="81" t="str">
        <f>IFERROR(SR_demand_forecast!P60*Historical_Cost!#REF!,"-")</f>
        <v>-</v>
      </c>
      <c r="Q175" s="81" t="str">
        <f>IFERROR(SR_demand_forecast!Q60*Historical_Cost!#REF!,"-")</f>
        <v>-</v>
      </c>
      <c r="R175" s="81" t="str">
        <f>IFERROR(SR_demand_forecast!R60*Historical_Cost!#REF!,"-")</f>
        <v>-</v>
      </c>
      <c r="S175" s="81" t="str">
        <f>IFERROR(SR_demand_forecast!S60*Historical_Cost!#REF!,"-")</f>
        <v>-</v>
      </c>
      <c r="T175" s="81" t="str">
        <f>IFERROR(SR_demand_forecast!T60*Historical_Cost!#REF!,"-")</f>
        <v>-</v>
      </c>
      <c r="U175" s="81" t="str">
        <f>IFERROR(SR_demand_forecast!U60*Historical_Cost!#REF!,"-")</f>
        <v>-</v>
      </c>
      <c r="V175" s="81" t="str">
        <f>IFERROR(SR_demand_forecast!V60*Historical_Cost!#REF!,"-")</f>
        <v>-</v>
      </c>
    </row>
    <row r="176" spans="1:22" x14ac:dyDescent="0.3">
      <c r="A176" s="526"/>
      <c r="B176" s="33" t="s">
        <v>81</v>
      </c>
      <c r="C176" s="81" t="str">
        <f>IFERROR(SR_demand_forecast!C61*Historical_Cost!#REF!,"-")</f>
        <v>-</v>
      </c>
      <c r="D176" s="81" t="str">
        <f>IFERROR(SR_demand_forecast!D61*Historical_Cost!#REF!,"-")</f>
        <v>-</v>
      </c>
      <c r="E176" s="81" t="str">
        <f>IFERROR(SR_demand_forecast!E61*Historical_Cost!#REF!,"-")</f>
        <v>-</v>
      </c>
      <c r="F176" s="81" t="str">
        <f>IFERROR(SR_demand_forecast!F61*Historical_Cost!#REF!,"-")</f>
        <v>-</v>
      </c>
      <c r="G176" s="81" t="str">
        <f>IFERROR(SR_demand_forecast!G61*Historical_Cost!#REF!,"-")</f>
        <v>-</v>
      </c>
      <c r="H176" s="81" t="str">
        <f>IFERROR(SR_demand_forecast!H61*Historical_Cost!#REF!,"-")</f>
        <v>-</v>
      </c>
      <c r="I176" s="81" t="str">
        <f>IFERROR(SR_demand_forecast!I61*Historical_Cost!#REF!,"-")</f>
        <v>-</v>
      </c>
      <c r="J176" s="81" t="str">
        <f>IFERROR(SR_demand_forecast!J61*Historical_Cost!#REF!,"-")</f>
        <v>-</v>
      </c>
      <c r="K176" s="81" t="str">
        <f>IFERROR(SR_demand_forecast!K61*Historical_Cost!#REF!,"-")</f>
        <v>-</v>
      </c>
      <c r="L176" s="81" t="str">
        <f>IFERROR(SR_demand_forecast!L61*Historical_Cost!#REF!,"-")</f>
        <v>-</v>
      </c>
      <c r="M176" s="81" t="str">
        <f>IFERROR(SR_demand_forecast!M61*Historical_Cost!#REF!,"-")</f>
        <v>-</v>
      </c>
      <c r="N176" s="81" t="str">
        <f>IFERROR(SR_demand_forecast!N61*Historical_Cost!#REF!,"-")</f>
        <v>-</v>
      </c>
      <c r="O176" s="81" t="str">
        <f>IFERROR(SR_demand_forecast!O61*Historical_Cost!#REF!,"-")</f>
        <v>-</v>
      </c>
      <c r="P176" s="81" t="str">
        <f>IFERROR(SR_demand_forecast!P61*Historical_Cost!#REF!,"-")</f>
        <v>-</v>
      </c>
      <c r="Q176" s="81" t="str">
        <f>IFERROR(SR_demand_forecast!Q61*Historical_Cost!#REF!,"-")</f>
        <v>-</v>
      </c>
      <c r="R176" s="81" t="str">
        <f>IFERROR(SR_demand_forecast!R61*Historical_Cost!#REF!,"-")</f>
        <v>-</v>
      </c>
      <c r="S176" s="81" t="str">
        <f>IFERROR(SR_demand_forecast!S61*Historical_Cost!#REF!,"-")</f>
        <v>-</v>
      </c>
      <c r="T176" s="81" t="str">
        <f>IFERROR(SR_demand_forecast!T61*Historical_Cost!#REF!,"-")</f>
        <v>-</v>
      </c>
      <c r="U176" s="81" t="str">
        <f>IFERROR(SR_demand_forecast!U61*Historical_Cost!#REF!,"-")</f>
        <v>-</v>
      </c>
      <c r="V176" s="81" t="str">
        <f>IFERROR(SR_demand_forecast!V61*Historical_Cost!#REF!,"-")</f>
        <v>-</v>
      </c>
    </row>
    <row r="177" spans="1:22" x14ac:dyDescent="0.3">
      <c r="A177" s="526"/>
      <c r="B177" s="33" t="s">
        <v>42</v>
      </c>
      <c r="C177" s="81" t="str">
        <f>IFERROR(SR_demand_forecast!C62*Historical_Cost!#REF!,"-")</f>
        <v>-</v>
      </c>
      <c r="D177" s="81" t="str">
        <f>IFERROR(SR_demand_forecast!D62*Historical_Cost!#REF!,"-")</f>
        <v>-</v>
      </c>
      <c r="E177" s="81" t="str">
        <f>IFERROR(SR_demand_forecast!E62*Historical_Cost!#REF!,"-")</f>
        <v>-</v>
      </c>
      <c r="F177" s="81" t="str">
        <f>IFERROR(SR_demand_forecast!F62*Historical_Cost!#REF!,"-")</f>
        <v>-</v>
      </c>
      <c r="G177" s="81" t="str">
        <f>IFERROR(SR_demand_forecast!G62*Historical_Cost!#REF!,"-")</f>
        <v>-</v>
      </c>
      <c r="H177" s="81" t="str">
        <f>IFERROR(SR_demand_forecast!H62*Historical_Cost!#REF!,"-")</f>
        <v>-</v>
      </c>
      <c r="I177" s="81" t="str">
        <f>IFERROR(SR_demand_forecast!I62*Historical_Cost!#REF!,"-")</f>
        <v>-</v>
      </c>
      <c r="J177" s="81" t="str">
        <f>IFERROR(SR_demand_forecast!J62*Historical_Cost!#REF!,"-")</f>
        <v>-</v>
      </c>
      <c r="K177" s="81" t="str">
        <f>IFERROR(SR_demand_forecast!K62*Historical_Cost!#REF!,"-")</f>
        <v>-</v>
      </c>
      <c r="L177" s="81" t="str">
        <f>IFERROR(SR_demand_forecast!L62*Historical_Cost!#REF!,"-")</f>
        <v>-</v>
      </c>
      <c r="M177" s="81" t="str">
        <f>IFERROR(SR_demand_forecast!M62*Historical_Cost!#REF!,"-")</f>
        <v>-</v>
      </c>
      <c r="N177" s="81" t="str">
        <f>IFERROR(SR_demand_forecast!N62*Historical_Cost!#REF!,"-")</f>
        <v>-</v>
      </c>
      <c r="O177" s="81" t="str">
        <f>IFERROR(SR_demand_forecast!O62*Historical_Cost!#REF!,"-")</f>
        <v>-</v>
      </c>
      <c r="P177" s="81" t="str">
        <f>IFERROR(SR_demand_forecast!P62*Historical_Cost!#REF!,"-")</f>
        <v>-</v>
      </c>
      <c r="Q177" s="81" t="str">
        <f>IFERROR(SR_demand_forecast!Q62*Historical_Cost!#REF!,"-")</f>
        <v>-</v>
      </c>
      <c r="R177" s="81" t="str">
        <f>IFERROR(SR_demand_forecast!R62*Historical_Cost!#REF!,"-")</f>
        <v>-</v>
      </c>
      <c r="S177" s="81" t="str">
        <f>IFERROR(SR_demand_forecast!S62*Historical_Cost!#REF!,"-")</f>
        <v>-</v>
      </c>
      <c r="T177" s="81" t="str">
        <f>IFERROR(SR_demand_forecast!T62*Historical_Cost!#REF!,"-")</f>
        <v>-</v>
      </c>
      <c r="U177" s="81" t="str">
        <f>IFERROR(SR_demand_forecast!U62*Historical_Cost!#REF!,"-")</f>
        <v>-</v>
      </c>
      <c r="V177" s="81" t="str">
        <f>IFERROR(SR_demand_forecast!V62*Historical_Cost!#REF!,"-")</f>
        <v>-</v>
      </c>
    </row>
    <row r="178" spans="1:22" x14ac:dyDescent="0.3">
      <c r="A178" s="526"/>
      <c r="B178" s="33" t="s">
        <v>45</v>
      </c>
      <c r="C178" s="81" t="str">
        <f>IFERROR(SR_demand_forecast!C63*Historical_Cost!#REF!,"-")</f>
        <v>-</v>
      </c>
      <c r="D178" s="81" t="str">
        <f>IFERROR(SR_demand_forecast!D63*Historical_Cost!#REF!,"-")</f>
        <v>-</v>
      </c>
      <c r="E178" s="81" t="str">
        <f>IFERROR(SR_demand_forecast!E63*Historical_Cost!#REF!,"-")</f>
        <v>-</v>
      </c>
      <c r="F178" s="81" t="str">
        <f>IFERROR(SR_demand_forecast!F63*Historical_Cost!#REF!,"-")</f>
        <v>-</v>
      </c>
      <c r="G178" s="81" t="str">
        <f>IFERROR(SR_demand_forecast!G63*Historical_Cost!#REF!,"-")</f>
        <v>-</v>
      </c>
      <c r="H178" s="81" t="str">
        <f>IFERROR(SR_demand_forecast!H63*Historical_Cost!#REF!,"-")</f>
        <v>-</v>
      </c>
      <c r="I178" s="81" t="str">
        <f>IFERROR(SR_demand_forecast!I63*Historical_Cost!#REF!,"-")</f>
        <v>-</v>
      </c>
      <c r="J178" s="81" t="str">
        <f>IFERROR(SR_demand_forecast!J63*Historical_Cost!#REF!,"-")</f>
        <v>-</v>
      </c>
      <c r="K178" s="81" t="str">
        <f>IFERROR(SR_demand_forecast!K63*Historical_Cost!#REF!,"-")</f>
        <v>-</v>
      </c>
      <c r="L178" s="81" t="str">
        <f>IFERROR(SR_demand_forecast!L63*Historical_Cost!#REF!,"-")</f>
        <v>-</v>
      </c>
      <c r="M178" s="81" t="str">
        <f>IFERROR(SR_demand_forecast!M63*Historical_Cost!#REF!,"-")</f>
        <v>-</v>
      </c>
      <c r="N178" s="81" t="str">
        <f>IFERROR(SR_demand_forecast!N63*Historical_Cost!#REF!,"-")</f>
        <v>-</v>
      </c>
      <c r="O178" s="81" t="str">
        <f>IFERROR(SR_demand_forecast!O63*Historical_Cost!#REF!,"-")</f>
        <v>-</v>
      </c>
      <c r="P178" s="81" t="str">
        <f>IFERROR(SR_demand_forecast!P63*Historical_Cost!#REF!,"-")</f>
        <v>-</v>
      </c>
      <c r="Q178" s="81" t="str">
        <f>IFERROR(SR_demand_forecast!Q63*Historical_Cost!#REF!,"-")</f>
        <v>-</v>
      </c>
      <c r="R178" s="81" t="str">
        <f>IFERROR(SR_demand_forecast!R63*Historical_Cost!#REF!,"-")</f>
        <v>-</v>
      </c>
      <c r="S178" s="81" t="str">
        <f>IFERROR(SR_demand_forecast!S63*Historical_Cost!#REF!,"-")</f>
        <v>-</v>
      </c>
      <c r="T178" s="81" t="str">
        <f>IFERROR(SR_demand_forecast!T63*Historical_Cost!#REF!,"-")</f>
        <v>-</v>
      </c>
      <c r="U178" s="81" t="str">
        <f>IFERROR(SR_demand_forecast!U63*Historical_Cost!#REF!,"-")</f>
        <v>-</v>
      </c>
      <c r="V178" s="81" t="str">
        <f>IFERROR(SR_demand_forecast!V63*Historical_Cost!#REF!,"-")</f>
        <v>-</v>
      </c>
    </row>
    <row r="179" spans="1:22" x14ac:dyDescent="0.3">
      <c r="A179" s="526"/>
      <c r="B179" s="34" t="s">
        <v>84</v>
      </c>
      <c r="C179" s="128">
        <f t="shared" ref="C179:V179" si="9">SUM(C171:C178)</f>
        <v>0</v>
      </c>
      <c r="D179" s="128">
        <f t="shared" si="9"/>
        <v>0</v>
      </c>
      <c r="E179" s="128">
        <f t="shared" si="9"/>
        <v>0</v>
      </c>
      <c r="F179" s="128">
        <f t="shared" si="9"/>
        <v>0</v>
      </c>
      <c r="G179" s="128">
        <f t="shared" si="9"/>
        <v>0</v>
      </c>
      <c r="H179" s="128">
        <f t="shared" si="9"/>
        <v>0</v>
      </c>
      <c r="I179" s="128">
        <f t="shared" si="9"/>
        <v>0</v>
      </c>
      <c r="J179" s="128">
        <f t="shared" si="9"/>
        <v>0</v>
      </c>
      <c r="K179" s="128">
        <f t="shared" si="9"/>
        <v>0</v>
      </c>
      <c r="L179" s="128">
        <f t="shared" si="9"/>
        <v>0</v>
      </c>
      <c r="M179" s="128">
        <f t="shared" si="9"/>
        <v>0</v>
      </c>
      <c r="N179" s="128">
        <f t="shared" si="9"/>
        <v>0</v>
      </c>
      <c r="O179" s="128">
        <f t="shared" si="9"/>
        <v>0</v>
      </c>
      <c r="P179" s="128">
        <f t="shared" si="9"/>
        <v>0</v>
      </c>
      <c r="Q179" s="128">
        <f t="shared" si="9"/>
        <v>0</v>
      </c>
      <c r="R179" s="128">
        <f t="shared" si="9"/>
        <v>0</v>
      </c>
      <c r="S179" s="128">
        <f t="shared" si="9"/>
        <v>0</v>
      </c>
      <c r="T179" s="128">
        <f t="shared" si="9"/>
        <v>0</v>
      </c>
      <c r="U179" s="128">
        <f t="shared" si="9"/>
        <v>0</v>
      </c>
      <c r="V179" s="128">
        <f t="shared" si="9"/>
        <v>0</v>
      </c>
    </row>
    <row r="180" spans="1:22" x14ac:dyDescent="0.3">
      <c r="A180" s="526"/>
      <c r="B180" s="129"/>
      <c r="C180" s="130"/>
      <c r="D180" s="130"/>
      <c r="E180" s="130"/>
      <c r="F180" s="130"/>
      <c r="G180" s="130"/>
      <c r="H180" s="130"/>
      <c r="I180" s="130"/>
      <c r="J180" s="130"/>
      <c r="K180" s="130"/>
      <c r="L180" s="130"/>
      <c r="M180" s="130"/>
      <c r="N180" s="130"/>
      <c r="O180" s="130"/>
      <c r="P180" s="130"/>
      <c r="Q180" s="130"/>
      <c r="R180" s="130"/>
      <c r="S180" s="130"/>
      <c r="T180" s="130"/>
      <c r="U180" s="130"/>
      <c r="V180" s="130"/>
    </row>
    <row r="181" spans="1:22" x14ac:dyDescent="0.3">
      <c r="A181" s="526"/>
      <c r="B181" s="129"/>
      <c r="C181" s="130"/>
      <c r="D181" s="130"/>
      <c r="E181" s="130"/>
      <c r="F181" s="130"/>
      <c r="G181" s="130"/>
      <c r="H181" s="130"/>
      <c r="I181" s="130"/>
      <c r="J181" s="130"/>
      <c r="K181" s="130"/>
      <c r="L181" s="130"/>
      <c r="M181" s="130"/>
      <c r="N181" s="130"/>
      <c r="O181" s="130"/>
      <c r="P181" s="130"/>
      <c r="Q181" s="130"/>
      <c r="R181" s="130"/>
      <c r="S181" s="130"/>
      <c r="T181" s="130"/>
      <c r="U181" s="130"/>
      <c r="V181" s="130"/>
    </row>
    <row r="182" spans="1:22" x14ac:dyDescent="0.3">
      <c r="A182" s="526"/>
      <c r="B182" s="129"/>
      <c r="C182" s="130"/>
      <c r="D182" s="130"/>
      <c r="E182" s="130"/>
      <c r="F182" s="130"/>
      <c r="G182" s="130"/>
      <c r="H182" s="130"/>
      <c r="I182" s="130"/>
      <c r="J182" s="130"/>
      <c r="K182" s="130"/>
      <c r="L182" s="130"/>
      <c r="M182" s="130"/>
      <c r="N182" s="130"/>
      <c r="O182" s="130"/>
      <c r="P182" s="130"/>
      <c r="Q182" s="130"/>
      <c r="R182" s="130"/>
      <c r="S182" s="130"/>
      <c r="T182" s="130"/>
      <c r="U182" s="130"/>
      <c r="V182" s="130"/>
    </row>
    <row r="183" spans="1:22" x14ac:dyDescent="0.3">
      <c r="A183" s="526"/>
      <c r="B183" s="129"/>
      <c r="C183" s="130"/>
      <c r="D183" s="130"/>
      <c r="E183" s="130"/>
      <c r="F183" s="130"/>
      <c r="G183" s="130"/>
      <c r="H183" s="130"/>
      <c r="I183" s="130"/>
      <c r="J183" s="130"/>
      <c r="K183" s="130"/>
      <c r="L183" s="130"/>
      <c r="M183" s="130"/>
      <c r="N183" s="130"/>
      <c r="O183" s="130"/>
      <c r="P183" s="130"/>
      <c r="Q183" s="130"/>
      <c r="R183" s="130"/>
      <c r="S183" s="130"/>
      <c r="T183" s="130"/>
      <c r="U183" s="130"/>
      <c r="V183" s="130"/>
    </row>
    <row r="184" spans="1:22" x14ac:dyDescent="0.3">
      <c r="A184" s="526"/>
      <c r="B184" s="129"/>
      <c r="C184" s="130"/>
      <c r="D184" s="130"/>
      <c r="E184" s="130"/>
      <c r="F184" s="130"/>
      <c r="G184" s="130"/>
      <c r="H184" s="130"/>
      <c r="I184" s="130"/>
      <c r="J184" s="130"/>
      <c r="K184" s="130"/>
      <c r="L184" s="130"/>
      <c r="M184" s="130"/>
      <c r="N184" s="130"/>
      <c r="O184" s="130"/>
      <c r="P184" s="130"/>
      <c r="Q184" s="130"/>
      <c r="R184" s="130"/>
      <c r="S184" s="130"/>
      <c r="T184" s="130"/>
      <c r="U184" s="130"/>
      <c r="V184" s="130"/>
    </row>
    <row r="185" spans="1:22" x14ac:dyDescent="0.3">
      <c r="A185" s="526"/>
    </row>
    <row r="186" spans="1:22" x14ac:dyDescent="0.3">
      <c r="A186" s="526"/>
    </row>
    <row r="187" spans="1:22" x14ac:dyDescent="0.3">
      <c r="A187" s="526"/>
      <c r="B187" s="35" t="s">
        <v>163</v>
      </c>
      <c r="L187" s="20"/>
      <c r="M187" s="20"/>
    </row>
    <row r="188" spans="1:22" x14ac:dyDescent="0.3">
      <c r="A188" s="526"/>
      <c r="B188" s="78" t="s">
        <v>82</v>
      </c>
      <c r="C188" s="78">
        <v>2021</v>
      </c>
      <c r="D188" s="79">
        <v>2022</v>
      </c>
      <c r="E188" s="78">
        <v>2023</v>
      </c>
      <c r="F188" s="79">
        <v>2024</v>
      </c>
      <c r="G188" s="78">
        <v>2025</v>
      </c>
      <c r="H188" s="79">
        <v>2026</v>
      </c>
      <c r="I188" s="78">
        <v>2027</v>
      </c>
      <c r="J188" s="79">
        <v>2028</v>
      </c>
      <c r="K188" s="78">
        <v>2029</v>
      </c>
      <c r="L188" s="79">
        <v>2030</v>
      </c>
      <c r="M188" s="78">
        <v>2031</v>
      </c>
      <c r="N188" s="79">
        <v>2032</v>
      </c>
      <c r="O188" s="78">
        <v>2033</v>
      </c>
      <c r="P188" s="79">
        <v>2034</v>
      </c>
      <c r="Q188" s="78">
        <v>2035</v>
      </c>
      <c r="R188" s="79">
        <v>2036</v>
      </c>
      <c r="S188" s="78">
        <v>2037</v>
      </c>
      <c r="T188" s="79">
        <v>2038</v>
      </c>
      <c r="U188" s="78">
        <v>2039</v>
      </c>
      <c r="V188" s="79">
        <v>2040</v>
      </c>
    </row>
    <row r="189" spans="1:22" x14ac:dyDescent="0.3">
      <c r="A189" s="526"/>
      <c r="B189" s="33" t="s">
        <v>43</v>
      </c>
      <c r="C189" s="81" t="str">
        <f>IFERROR(SR_demand_forecast!C129*Historical_Cost!#REF!,"-")</f>
        <v>-</v>
      </c>
      <c r="D189" s="81" t="str">
        <f>IFERROR(SR_demand_forecast!D129*Historical_Cost!#REF!,"-")</f>
        <v>-</v>
      </c>
      <c r="E189" s="81" t="str">
        <f>IFERROR(SR_demand_forecast!E129*Historical_Cost!#REF!,"-")</f>
        <v>-</v>
      </c>
      <c r="F189" s="81" t="str">
        <f>IFERROR(SR_demand_forecast!F129*Historical_Cost!#REF!,"-")</f>
        <v>-</v>
      </c>
      <c r="G189" s="81" t="str">
        <f>IFERROR(SR_demand_forecast!G129*Historical_Cost!#REF!,"-")</f>
        <v>-</v>
      </c>
      <c r="H189" s="81" t="str">
        <f>IFERROR(SR_demand_forecast!H129*Historical_Cost!#REF!,"-")</f>
        <v>-</v>
      </c>
      <c r="I189" s="81" t="str">
        <f>IFERROR(SR_demand_forecast!I129*Historical_Cost!#REF!,"-")</f>
        <v>-</v>
      </c>
      <c r="J189" s="81" t="str">
        <f>IFERROR(SR_demand_forecast!J129*Historical_Cost!#REF!,"-")</f>
        <v>-</v>
      </c>
      <c r="K189" s="81" t="str">
        <f>IFERROR(SR_demand_forecast!K129*Historical_Cost!#REF!,"-")</f>
        <v>-</v>
      </c>
      <c r="L189" s="81" t="str">
        <f>IFERROR(SR_demand_forecast!L129*Historical_Cost!#REF!,"-")</f>
        <v>-</v>
      </c>
      <c r="M189" s="81" t="str">
        <f>IFERROR(SR_demand_forecast!M129*Historical_Cost!#REF!,"-")</f>
        <v>-</v>
      </c>
      <c r="N189" s="81" t="str">
        <f>IFERROR(SR_demand_forecast!N129*Historical_Cost!#REF!,"-")</f>
        <v>-</v>
      </c>
      <c r="O189" s="81" t="str">
        <f>IFERROR(SR_demand_forecast!O129*Historical_Cost!#REF!,"-")</f>
        <v>-</v>
      </c>
      <c r="P189" s="81" t="str">
        <f>IFERROR(SR_demand_forecast!P129*Historical_Cost!#REF!,"-")</f>
        <v>-</v>
      </c>
      <c r="Q189" s="81" t="str">
        <f>IFERROR(SR_demand_forecast!Q129*Historical_Cost!#REF!,"-")</f>
        <v>-</v>
      </c>
      <c r="R189" s="81" t="str">
        <f>IFERROR(SR_demand_forecast!R129*Historical_Cost!#REF!,"-")</f>
        <v>-</v>
      </c>
      <c r="S189" s="81" t="str">
        <f>IFERROR(SR_demand_forecast!S129*Historical_Cost!#REF!,"-")</f>
        <v>-</v>
      </c>
      <c r="T189" s="81" t="str">
        <f>IFERROR(SR_demand_forecast!T129*Historical_Cost!#REF!,"-")</f>
        <v>-</v>
      </c>
      <c r="U189" s="81" t="str">
        <f>IFERROR(SR_demand_forecast!U129*Historical_Cost!#REF!,"-")</f>
        <v>-</v>
      </c>
      <c r="V189" s="81" t="str">
        <f>IFERROR(SR_demand_forecast!V129*Historical_Cost!#REF!,"-")</f>
        <v>-</v>
      </c>
    </row>
    <row r="190" spans="1:22" x14ac:dyDescent="0.3">
      <c r="A190" s="526"/>
      <c r="B190" s="33" t="s">
        <v>41</v>
      </c>
      <c r="C190" s="81" t="str">
        <f>IFERROR(SR_demand_forecast!C130*Historical_Cost!#REF!,"-")</f>
        <v>-</v>
      </c>
      <c r="D190" s="81" t="str">
        <f>IFERROR(SR_demand_forecast!D130*Historical_Cost!#REF!,"-")</f>
        <v>-</v>
      </c>
      <c r="E190" s="81" t="str">
        <f>IFERROR(SR_demand_forecast!E130*Historical_Cost!#REF!,"-")</f>
        <v>-</v>
      </c>
      <c r="F190" s="81" t="str">
        <f>IFERROR(SR_demand_forecast!F130*Historical_Cost!#REF!,"-")</f>
        <v>-</v>
      </c>
      <c r="G190" s="81" t="str">
        <f>IFERROR(SR_demand_forecast!G130*Historical_Cost!#REF!,"-")</f>
        <v>-</v>
      </c>
      <c r="H190" s="81" t="str">
        <f>IFERROR(SR_demand_forecast!H130*Historical_Cost!#REF!,"-")</f>
        <v>-</v>
      </c>
      <c r="I190" s="81" t="str">
        <f>IFERROR(SR_demand_forecast!I130*Historical_Cost!#REF!,"-")</f>
        <v>-</v>
      </c>
      <c r="J190" s="81" t="str">
        <f>IFERROR(SR_demand_forecast!J130*Historical_Cost!#REF!,"-")</f>
        <v>-</v>
      </c>
      <c r="K190" s="81" t="str">
        <f>IFERROR(SR_demand_forecast!K130*Historical_Cost!#REF!,"-")</f>
        <v>-</v>
      </c>
      <c r="L190" s="81" t="str">
        <f>IFERROR(SR_demand_forecast!L130*Historical_Cost!#REF!,"-")</f>
        <v>-</v>
      </c>
      <c r="M190" s="81" t="str">
        <f>IFERROR(SR_demand_forecast!M130*Historical_Cost!#REF!,"-")</f>
        <v>-</v>
      </c>
      <c r="N190" s="81" t="str">
        <f>IFERROR(SR_demand_forecast!N130*Historical_Cost!#REF!,"-")</f>
        <v>-</v>
      </c>
      <c r="O190" s="81" t="str">
        <f>IFERROR(SR_demand_forecast!O130*Historical_Cost!#REF!,"-")</f>
        <v>-</v>
      </c>
      <c r="P190" s="81" t="str">
        <f>IFERROR(SR_demand_forecast!P130*Historical_Cost!#REF!,"-")</f>
        <v>-</v>
      </c>
      <c r="Q190" s="81" t="str">
        <f>IFERROR(SR_demand_forecast!Q130*Historical_Cost!#REF!,"-")</f>
        <v>-</v>
      </c>
      <c r="R190" s="81" t="str">
        <f>IFERROR(SR_demand_forecast!R130*Historical_Cost!#REF!,"-")</f>
        <v>-</v>
      </c>
      <c r="S190" s="81" t="str">
        <f>IFERROR(SR_demand_forecast!S130*Historical_Cost!#REF!,"-")</f>
        <v>-</v>
      </c>
      <c r="T190" s="81" t="str">
        <f>IFERROR(SR_demand_forecast!T130*Historical_Cost!#REF!,"-")</f>
        <v>-</v>
      </c>
      <c r="U190" s="81" t="str">
        <f>IFERROR(SR_demand_forecast!U130*Historical_Cost!#REF!,"-")</f>
        <v>-</v>
      </c>
      <c r="V190" s="81" t="str">
        <f>IFERROR(SR_demand_forecast!V130*Historical_Cost!#REF!,"-")</f>
        <v>-</v>
      </c>
    </row>
    <row r="191" spans="1:22" x14ac:dyDescent="0.3">
      <c r="A191" s="526"/>
      <c r="B191" s="33" t="s">
        <v>40</v>
      </c>
      <c r="C191" s="81" t="str">
        <f>IFERROR(SR_demand_forecast!C131*Historical_Cost!#REF!,"-")</f>
        <v>-</v>
      </c>
      <c r="D191" s="81" t="str">
        <f>IFERROR(SR_demand_forecast!D131*Historical_Cost!#REF!,"-")</f>
        <v>-</v>
      </c>
      <c r="E191" s="81" t="str">
        <f>IFERROR(SR_demand_forecast!E131*Historical_Cost!#REF!,"-")</f>
        <v>-</v>
      </c>
      <c r="F191" s="81" t="str">
        <f>IFERROR(SR_demand_forecast!F131*Historical_Cost!#REF!,"-")</f>
        <v>-</v>
      </c>
      <c r="G191" s="81" t="str">
        <f>IFERROR(SR_demand_forecast!G131*Historical_Cost!#REF!,"-")</f>
        <v>-</v>
      </c>
      <c r="H191" s="81" t="str">
        <f>IFERROR(SR_demand_forecast!H131*Historical_Cost!#REF!,"-")</f>
        <v>-</v>
      </c>
      <c r="I191" s="81" t="str">
        <f>IFERROR(SR_demand_forecast!I131*Historical_Cost!#REF!,"-")</f>
        <v>-</v>
      </c>
      <c r="J191" s="81" t="str">
        <f>IFERROR(SR_demand_forecast!J131*Historical_Cost!#REF!,"-")</f>
        <v>-</v>
      </c>
      <c r="K191" s="81" t="str">
        <f>IFERROR(SR_demand_forecast!K131*Historical_Cost!#REF!,"-")</f>
        <v>-</v>
      </c>
      <c r="L191" s="81" t="str">
        <f>IFERROR(SR_demand_forecast!L131*Historical_Cost!#REF!,"-")</f>
        <v>-</v>
      </c>
      <c r="M191" s="81" t="str">
        <f>IFERROR(SR_demand_forecast!M131*Historical_Cost!#REF!,"-")</f>
        <v>-</v>
      </c>
      <c r="N191" s="81" t="str">
        <f>IFERROR(SR_demand_forecast!N131*Historical_Cost!#REF!,"-")</f>
        <v>-</v>
      </c>
      <c r="O191" s="81" t="str">
        <f>IFERROR(SR_demand_forecast!O131*Historical_Cost!#REF!,"-")</f>
        <v>-</v>
      </c>
      <c r="P191" s="81" t="str">
        <f>IFERROR(SR_demand_forecast!P131*Historical_Cost!#REF!,"-")</f>
        <v>-</v>
      </c>
      <c r="Q191" s="81" t="str">
        <f>IFERROR(SR_demand_forecast!Q131*Historical_Cost!#REF!,"-")</f>
        <v>-</v>
      </c>
      <c r="R191" s="81" t="str">
        <f>IFERROR(SR_demand_forecast!R131*Historical_Cost!#REF!,"-")</f>
        <v>-</v>
      </c>
      <c r="S191" s="81" t="str">
        <f>IFERROR(SR_demand_forecast!S131*Historical_Cost!#REF!,"-")</f>
        <v>-</v>
      </c>
      <c r="T191" s="81" t="str">
        <f>IFERROR(SR_demand_forecast!T131*Historical_Cost!#REF!,"-")</f>
        <v>-</v>
      </c>
      <c r="U191" s="81" t="str">
        <f>IFERROR(SR_demand_forecast!U131*Historical_Cost!#REF!,"-")</f>
        <v>-</v>
      </c>
      <c r="V191" s="81" t="str">
        <f>IFERROR(SR_demand_forecast!V131*Historical_Cost!#REF!,"-")</f>
        <v>-</v>
      </c>
    </row>
    <row r="192" spans="1:22" x14ac:dyDescent="0.3">
      <c r="A192" s="526"/>
      <c r="B192" s="33" t="s">
        <v>80</v>
      </c>
      <c r="C192" s="81" t="str">
        <f>IFERROR(SR_demand_forecast!C132*Historical_Cost!#REF!,"-")</f>
        <v>-</v>
      </c>
      <c r="D192" s="81" t="str">
        <f>IFERROR(SR_demand_forecast!D132*Historical_Cost!#REF!,"-")</f>
        <v>-</v>
      </c>
      <c r="E192" s="81" t="str">
        <f>IFERROR(SR_demand_forecast!E132*Historical_Cost!#REF!,"-")</f>
        <v>-</v>
      </c>
      <c r="F192" s="81" t="str">
        <f>IFERROR(SR_demand_forecast!F132*Historical_Cost!#REF!,"-")</f>
        <v>-</v>
      </c>
      <c r="G192" s="81" t="str">
        <f>IFERROR(SR_demand_forecast!G132*Historical_Cost!#REF!,"-")</f>
        <v>-</v>
      </c>
      <c r="H192" s="81" t="str">
        <f>IFERROR(SR_demand_forecast!H132*Historical_Cost!#REF!,"-")</f>
        <v>-</v>
      </c>
      <c r="I192" s="81" t="str">
        <f>IFERROR(SR_demand_forecast!I132*Historical_Cost!#REF!,"-")</f>
        <v>-</v>
      </c>
      <c r="J192" s="81" t="str">
        <f>IFERROR(SR_demand_forecast!J132*Historical_Cost!#REF!,"-")</f>
        <v>-</v>
      </c>
      <c r="K192" s="81" t="str">
        <f>IFERROR(SR_demand_forecast!K132*Historical_Cost!#REF!,"-")</f>
        <v>-</v>
      </c>
      <c r="L192" s="81" t="str">
        <f>IFERROR(SR_demand_forecast!L132*Historical_Cost!#REF!,"-")</f>
        <v>-</v>
      </c>
      <c r="M192" s="81" t="str">
        <f>IFERROR(SR_demand_forecast!M132*Historical_Cost!#REF!,"-")</f>
        <v>-</v>
      </c>
      <c r="N192" s="81" t="str">
        <f>IFERROR(SR_demand_forecast!N132*Historical_Cost!#REF!,"-")</f>
        <v>-</v>
      </c>
      <c r="O192" s="81" t="str">
        <f>IFERROR(SR_demand_forecast!O132*Historical_Cost!#REF!,"-")</f>
        <v>-</v>
      </c>
      <c r="P192" s="81" t="str">
        <f>IFERROR(SR_demand_forecast!P132*Historical_Cost!#REF!,"-")</f>
        <v>-</v>
      </c>
      <c r="Q192" s="81" t="str">
        <f>IFERROR(SR_demand_forecast!Q132*Historical_Cost!#REF!,"-")</f>
        <v>-</v>
      </c>
      <c r="R192" s="81" t="str">
        <f>IFERROR(SR_demand_forecast!R132*Historical_Cost!#REF!,"-")</f>
        <v>-</v>
      </c>
      <c r="S192" s="81" t="str">
        <f>IFERROR(SR_demand_forecast!S132*Historical_Cost!#REF!,"-")</f>
        <v>-</v>
      </c>
      <c r="T192" s="81" t="str">
        <f>IFERROR(SR_demand_forecast!T132*Historical_Cost!#REF!,"-")</f>
        <v>-</v>
      </c>
      <c r="U192" s="81" t="str">
        <f>IFERROR(SR_demand_forecast!U132*Historical_Cost!#REF!,"-")</f>
        <v>-</v>
      </c>
      <c r="V192" s="81" t="str">
        <f>IFERROR(SR_demand_forecast!V132*Historical_Cost!#REF!,"-")</f>
        <v>-</v>
      </c>
    </row>
    <row r="193" spans="1:22" x14ac:dyDescent="0.3">
      <c r="A193" s="526"/>
      <c r="B193" s="33" t="s">
        <v>44</v>
      </c>
      <c r="C193" s="81" t="str">
        <f>IFERROR(SR_demand_forecast!C133*Historical_Cost!#REF!,"-")</f>
        <v>-</v>
      </c>
      <c r="D193" s="81" t="str">
        <f>IFERROR(SR_demand_forecast!D133*Historical_Cost!#REF!,"-")</f>
        <v>-</v>
      </c>
      <c r="E193" s="81" t="str">
        <f>IFERROR(SR_demand_forecast!E133*Historical_Cost!#REF!,"-")</f>
        <v>-</v>
      </c>
      <c r="F193" s="81" t="str">
        <f>IFERROR(SR_demand_forecast!F133*Historical_Cost!#REF!,"-")</f>
        <v>-</v>
      </c>
      <c r="G193" s="81" t="str">
        <f>IFERROR(SR_demand_forecast!G133*Historical_Cost!#REF!,"-")</f>
        <v>-</v>
      </c>
      <c r="H193" s="81" t="str">
        <f>IFERROR(SR_demand_forecast!H133*Historical_Cost!#REF!,"-")</f>
        <v>-</v>
      </c>
      <c r="I193" s="81" t="str">
        <f>IFERROR(SR_demand_forecast!I133*Historical_Cost!#REF!,"-")</f>
        <v>-</v>
      </c>
      <c r="J193" s="81" t="str">
        <f>IFERROR(SR_demand_forecast!J133*Historical_Cost!#REF!,"-")</f>
        <v>-</v>
      </c>
      <c r="K193" s="81" t="str">
        <f>IFERROR(SR_demand_forecast!K133*Historical_Cost!#REF!,"-")</f>
        <v>-</v>
      </c>
      <c r="L193" s="81" t="str">
        <f>IFERROR(SR_demand_forecast!L133*Historical_Cost!#REF!,"-")</f>
        <v>-</v>
      </c>
      <c r="M193" s="81" t="str">
        <f>IFERROR(SR_demand_forecast!M133*Historical_Cost!#REF!,"-")</f>
        <v>-</v>
      </c>
      <c r="N193" s="81" t="str">
        <f>IFERROR(SR_demand_forecast!N133*Historical_Cost!#REF!,"-")</f>
        <v>-</v>
      </c>
      <c r="O193" s="81" t="str">
        <f>IFERROR(SR_demand_forecast!O133*Historical_Cost!#REF!,"-")</f>
        <v>-</v>
      </c>
      <c r="P193" s="81" t="str">
        <f>IFERROR(SR_demand_forecast!P133*Historical_Cost!#REF!,"-")</f>
        <v>-</v>
      </c>
      <c r="Q193" s="81" t="str">
        <f>IFERROR(SR_demand_forecast!Q133*Historical_Cost!#REF!,"-")</f>
        <v>-</v>
      </c>
      <c r="R193" s="81" t="str">
        <f>IFERROR(SR_demand_forecast!R133*Historical_Cost!#REF!,"-")</f>
        <v>-</v>
      </c>
      <c r="S193" s="81" t="str">
        <f>IFERROR(SR_demand_forecast!S133*Historical_Cost!#REF!,"-")</f>
        <v>-</v>
      </c>
      <c r="T193" s="81" t="str">
        <f>IFERROR(SR_demand_forecast!T133*Historical_Cost!#REF!,"-")</f>
        <v>-</v>
      </c>
      <c r="U193" s="81" t="str">
        <f>IFERROR(SR_demand_forecast!U133*Historical_Cost!#REF!,"-")</f>
        <v>-</v>
      </c>
      <c r="V193" s="81" t="str">
        <f>IFERROR(SR_demand_forecast!V133*Historical_Cost!#REF!,"-")</f>
        <v>-</v>
      </c>
    </row>
    <row r="194" spans="1:22" x14ac:dyDescent="0.3">
      <c r="A194" s="526"/>
      <c r="B194" s="33" t="s">
        <v>81</v>
      </c>
      <c r="C194" s="81" t="str">
        <f>IFERROR(SR_demand_forecast!C134*Historical_Cost!#REF!,"-")</f>
        <v>-</v>
      </c>
      <c r="D194" s="81" t="str">
        <f>IFERROR(SR_demand_forecast!D134*Historical_Cost!#REF!,"-")</f>
        <v>-</v>
      </c>
      <c r="E194" s="81" t="str">
        <f>IFERROR(SR_demand_forecast!E134*Historical_Cost!#REF!,"-")</f>
        <v>-</v>
      </c>
      <c r="F194" s="81" t="str">
        <f>IFERROR(SR_demand_forecast!F134*Historical_Cost!#REF!,"-")</f>
        <v>-</v>
      </c>
      <c r="G194" s="81" t="str">
        <f>IFERROR(SR_demand_forecast!G134*Historical_Cost!#REF!,"-")</f>
        <v>-</v>
      </c>
      <c r="H194" s="81" t="str">
        <f>IFERROR(SR_demand_forecast!H134*Historical_Cost!#REF!,"-")</f>
        <v>-</v>
      </c>
      <c r="I194" s="81" t="str">
        <f>IFERROR(SR_demand_forecast!I134*Historical_Cost!#REF!,"-")</f>
        <v>-</v>
      </c>
      <c r="J194" s="81" t="str">
        <f>IFERROR(SR_demand_forecast!J134*Historical_Cost!#REF!,"-")</f>
        <v>-</v>
      </c>
      <c r="K194" s="81" t="str">
        <f>IFERROR(SR_demand_forecast!K134*Historical_Cost!#REF!,"-")</f>
        <v>-</v>
      </c>
      <c r="L194" s="81" t="str">
        <f>IFERROR(SR_demand_forecast!L134*Historical_Cost!#REF!,"-")</f>
        <v>-</v>
      </c>
      <c r="M194" s="81" t="str">
        <f>IFERROR(SR_demand_forecast!M134*Historical_Cost!#REF!,"-")</f>
        <v>-</v>
      </c>
      <c r="N194" s="81" t="str">
        <f>IFERROR(SR_demand_forecast!N134*Historical_Cost!#REF!,"-")</f>
        <v>-</v>
      </c>
      <c r="O194" s="81" t="str">
        <f>IFERROR(SR_demand_forecast!O134*Historical_Cost!#REF!,"-")</f>
        <v>-</v>
      </c>
      <c r="P194" s="81" t="str">
        <f>IFERROR(SR_demand_forecast!P134*Historical_Cost!#REF!,"-")</f>
        <v>-</v>
      </c>
      <c r="Q194" s="81" t="str">
        <f>IFERROR(SR_demand_forecast!Q134*Historical_Cost!#REF!,"-")</f>
        <v>-</v>
      </c>
      <c r="R194" s="81" t="str">
        <f>IFERROR(SR_demand_forecast!R134*Historical_Cost!#REF!,"-")</f>
        <v>-</v>
      </c>
      <c r="S194" s="81" t="str">
        <f>IFERROR(SR_demand_forecast!S134*Historical_Cost!#REF!,"-")</f>
        <v>-</v>
      </c>
      <c r="T194" s="81" t="str">
        <f>IFERROR(SR_demand_forecast!T134*Historical_Cost!#REF!,"-")</f>
        <v>-</v>
      </c>
      <c r="U194" s="81" t="str">
        <f>IFERROR(SR_demand_forecast!U134*Historical_Cost!#REF!,"-")</f>
        <v>-</v>
      </c>
      <c r="V194" s="81" t="str">
        <f>IFERROR(SR_demand_forecast!V134*Historical_Cost!#REF!,"-")</f>
        <v>-</v>
      </c>
    </row>
    <row r="195" spans="1:22" x14ac:dyDescent="0.3">
      <c r="A195" s="526"/>
      <c r="B195" s="33" t="s">
        <v>42</v>
      </c>
      <c r="C195" s="81" t="str">
        <f>IFERROR(SR_demand_forecast!C135*Historical_Cost!#REF!,"-")</f>
        <v>-</v>
      </c>
      <c r="D195" s="81" t="str">
        <f>IFERROR(SR_demand_forecast!D135*Historical_Cost!#REF!,"-")</f>
        <v>-</v>
      </c>
      <c r="E195" s="81" t="str">
        <f>IFERROR(SR_demand_forecast!E135*Historical_Cost!#REF!,"-")</f>
        <v>-</v>
      </c>
      <c r="F195" s="81" t="str">
        <f>IFERROR(SR_demand_forecast!F135*Historical_Cost!#REF!,"-")</f>
        <v>-</v>
      </c>
      <c r="G195" s="81" t="str">
        <f>IFERROR(SR_demand_forecast!G135*Historical_Cost!#REF!,"-")</f>
        <v>-</v>
      </c>
      <c r="H195" s="81" t="str">
        <f>IFERROR(SR_demand_forecast!H135*Historical_Cost!#REF!,"-")</f>
        <v>-</v>
      </c>
      <c r="I195" s="81" t="str">
        <f>IFERROR(SR_demand_forecast!I135*Historical_Cost!#REF!,"-")</f>
        <v>-</v>
      </c>
      <c r="J195" s="81" t="str">
        <f>IFERROR(SR_demand_forecast!J135*Historical_Cost!#REF!,"-")</f>
        <v>-</v>
      </c>
      <c r="K195" s="81" t="str">
        <f>IFERROR(SR_demand_forecast!K135*Historical_Cost!#REF!,"-")</f>
        <v>-</v>
      </c>
      <c r="L195" s="81" t="str">
        <f>IFERROR(SR_demand_forecast!L135*Historical_Cost!#REF!,"-")</f>
        <v>-</v>
      </c>
      <c r="M195" s="81" t="str">
        <f>IFERROR(SR_demand_forecast!M135*Historical_Cost!#REF!,"-")</f>
        <v>-</v>
      </c>
      <c r="N195" s="81" t="str">
        <f>IFERROR(SR_demand_forecast!N135*Historical_Cost!#REF!,"-")</f>
        <v>-</v>
      </c>
      <c r="O195" s="81" t="str">
        <f>IFERROR(SR_demand_forecast!O135*Historical_Cost!#REF!,"-")</f>
        <v>-</v>
      </c>
      <c r="P195" s="81" t="str">
        <f>IFERROR(SR_demand_forecast!P135*Historical_Cost!#REF!,"-")</f>
        <v>-</v>
      </c>
      <c r="Q195" s="81" t="str">
        <f>IFERROR(SR_demand_forecast!Q135*Historical_Cost!#REF!,"-")</f>
        <v>-</v>
      </c>
      <c r="R195" s="81" t="str">
        <f>IFERROR(SR_demand_forecast!R135*Historical_Cost!#REF!,"-")</f>
        <v>-</v>
      </c>
      <c r="S195" s="81" t="str">
        <f>IFERROR(SR_demand_forecast!S135*Historical_Cost!#REF!,"-")</f>
        <v>-</v>
      </c>
      <c r="T195" s="81" t="str">
        <f>IFERROR(SR_demand_forecast!T135*Historical_Cost!#REF!,"-")</f>
        <v>-</v>
      </c>
      <c r="U195" s="81" t="str">
        <f>IFERROR(SR_demand_forecast!U135*Historical_Cost!#REF!,"-")</f>
        <v>-</v>
      </c>
      <c r="V195" s="81" t="str">
        <f>IFERROR(SR_demand_forecast!V135*Historical_Cost!#REF!,"-")</f>
        <v>-</v>
      </c>
    </row>
    <row r="196" spans="1:22" x14ac:dyDescent="0.3">
      <c r="A196" s="526"/>
      <c r="B196" s="33" t="s">
        <v>45</v>
      </c>
      <c r="C196" s="81" t="str">
        <f>IFERROR(SR_demand_forecast!C136*Historical_Cost!#REF!,"-")</f>
        <v>-</v>
      </c>
      <c r="D196" s="81" t="str">
        <f>IFERROR(SR_demand_forecast!D136*Historical_Cost!#REF!,"-")</f>
        <v>-</v>
      </c>
      <c r="E196" s="81" t="str">
        <f>IFERROR(SR_demand_forecast!E136*Historical_Cost!#REF!,"-")</f>
        <v>-</v>
      </c>
      <c r="F196" s="81" t="str">
        <f>IFERROR(SR_demand_forecast!F136*Historical_Cost!#REF!,"-")</f>
        <v>-</v>
      </c>
      <c r="G196" s="81" t="str">
        <f>IFERROR(SR_demand_forecast!G136*Historical_Cost!#REF!,"-")</f>
        <v>-</v>
      </c>
      <c r="H196" s="81" t="str">
        <f>IFERROR(SR_demand_forecast!H136*Historical_Cost!#REF!,"-")</f>
        <v>-</v>
      </c>
      <c r="I196" s="81" t="str">
        <f>IFERROR(SR_demand_forecast!I136*Historical_Cost!#REF!,"-")</f>
        <v>-</v>
      </c>
      <c r="J196" s="81" t="str">
        <f>IFERROR(SR_demand_forecast!J136*Historical_Cost!#REF!,"-")</f>
        <v>-</v>
      </c>
      <c r="K196" s="81" t="str">
        <f>IFERROR(SR_demand_forecast!K136*Historical_Cost!#REF!,"-")</f>
        <v>-</v>
      </c>
      <c r="L196" s="81" t="str">
        <f>IFERROR(SR_demand_forecast!L136*Historical_Cost!#REF!,"-")</f>
        <v>-</v>
      </c>
      <c r="M196" s="81" t="str">
        <f>IFERROR(SR_demand_forecast!M136*Historical_Cost!#REF!,"-")</f>
        <v>-</v>
      </c>
      <c r="N196" s="81" t="str">
        <f>IFERROR(SR_demand_forecast!N136*Historical_Cost!#REF!,"-")</f>
        <v>-</v>
      </c>
      <c r="O196" s="81" t="str">
        <f>IFERROR(SR_demand_forecast!O136*Historical_Cost!#REF!,"-")</f>
        <v>-</v>
      </c>
      <c r="P196" s="81" t="str">
        <f>IFERROR(SR_demand_forecast!P136*Historical_Cost!#REF!,"-")</f>
        <v>-</v>
      </c>
      <c r="Q196" s="81" t="str">
        <f>IFERROR(SR_demand_forecast!Q136*Historical_Cost!#REF!,"-")</f>
        <v>-</v>
      </c>
      <c r="R196" s="81" t="str">
        <f>IFERROR(SR_demand_forecast!R136*Historical_Cost!#REF!,"-")</f>
        <v>-</v>
      </c>
      <c r="S196" s="81" t="str">
        <f>IFERROR(SR_demand_forecast!S136*Historical_Cost!#REF!,"-")</f>
        <v>-</v>
      </c>
      <c r="T196" s="81" t="str">
        <f>IFERROR(SR_demand_forecast!T136*Historical_Cost!#REF!,"-")</f>
        <v>-</v>
      </c>
      <c r="U196" s="81" t="str">
        <f>IFERROR(SR_demand_forecast!U136*Historical_Cost!#REF!,"-")</f>
        <v>-</v>
      </c>
      <c r="V196" s="81" t="str">
        <f>IFERROR(SR_demand_forecast!V136*Historical_Cost!#REF!,"-")</f>
        <v>-</v>
      </c>
    </row>
    <row r="197" spans="1:22" x14ac:dyDescent="0.3">
      <c r="A197" s="526"/>
      <c r="B197" s="33" t="s">
        <v>84</v>
      </c>
      <c r="C197" s="128">
        <f t="shared" ref="C197:V197" si="10">SUM(C189:C196)</f>
        <v>0</v>
      </c>
      <c r="D197" s="128">
        <f t="shared" si="10"/>
        <v>0</v>
      </c>
      <c r="E197" s="128">
        <f t="shared" si="10"/>
        <v>0</v>
      </c>
      <c r="F197" s="128">
        <f t="shared" si="10"/>
        <v>0</v>
      </c>
      <c r="G197" s="128">
        <f t="shared" si="10"/>
        <v>0</v>
      </c>
      <c r="H197" s="128">
        <f t="shared" si="10"/>
        <v>0</v>
      </c>
      <c r="I197" s="128">
        <f t="shared" si="10"/>
        <v>0</v>
      </c>
      <c r="J197" s="128">
        <f t="shared" si="10"/>
        <v>0</v>
      </c>
      <c r="K197" s="128">
        <f t="shared" si="10"/>
        <v>0</v>
      </c>
      <c r="L197" s="128">
        <f t="shared" si="10"/>
        <v>0</v>
      </c>
      <c r="M197" s="128">
        <f t="shared" si="10"/>
        <v>0</v>
      </c>
      <c r="N197" s="128">
        <f t="shared" si="10"/>
        <v>0</v>
      </c>
      <c r="O197" s="128">
        <f t="shared" si="10"/>
        <v>0</v>
      </c>
      <c r="P197" s="128">
        <f t="shared" si="10"/>
        <v>0</v>
      </c>
      <c r="Q197" s="128">
        <f t="shared" si="10"/>
        <v>0</v>
      </c>
      <c r="R197" s="128">
        <f t="shared" si="10"/>
        <v>0</v>
      </c>
      <c r="S197" s="128">
        <f t="shared" si="10"/>
        <v>0</v>
      </c>
      <c r="T197" s="128">
        <f t="shared" si="10"/>
        <v>0</v>
      </c>
      <c r="U197" s="128">
        <f t="shared" si="10"/>
        <v>0</v>
      </c>
      <c r="V197" s="128">
        <f t="shared" si="10"/>
        <v>0</v>
      </c>
    </row>
    <row r="198" spans="1:22" x14ac:dyDescent="0.3">
      <c r="A198" s="526"/>
    </row>
    <row r="199" spans="1:22" x14ac:dyDescent="0.3">
      <c r="A199" s="526"/>
    </row>
    <row r="200" spans="1:22" x14ac:dyDescent="0.3">
      <c r="A200" s="526"/>
    </row>
    <row r="201" spans="1:22" x14ac:dyDescent="0.3">
      <c r="A201" s="526"/>
    </row>
    <row r="202" spans="1:22" x14ac:dyDescent="0.3">
      <c r="A202" s="526"/>
    </row>
    <row r="203" spans="1:22" x14ac:dyDescent="0.3">
      <c r="A203" s="526"/>
    </row>
    <row r="204" spans="1:22" x14ac:dyDescent="0.3">
      <c r="A204" s="526"/>
    </row>
    <row r="205" spans="1:22" x14ac:dyDescent="0.3">
      <c r="A205" s="526"/>
      <c r="B205" s="35" t="s">
        <v>164</v>
      </c>
      <c r="L205" s="20"/>
      <c r="M205" s="20"/>
    </row>
    <row r="206" spans="1:22" x14ac:dyDescent="0.3">
      <c r="A206" s="526"/>
      <c r="B206" s="78" t="s">
        <v>82</v>
      </c>
      <c r="C206" s="78">
        <v>2021</v>
      </c>
      <c r="D206" s="79">
        <v>2022</v>
      </c>
      <c r="E206" s="78">
        <v>2023</v>
      </c>
      <c r="F206" s="79">
        <v>2024</v>
      </c>
      <c r="G206" s="78">
        <v>2025</v>
      </c>
      <c r="H206" s="79">
        <v>2026</v>
      </c>
      <c r="I206" s="78">
        <v>2027</v>
      </c>
      <c r="J206" s="79">
        <v>2028</v>
      </c>
      <c r="K206" s="78">
        <v>2029</v>
      </c>
      <c r="L206" s="79">
        <v>2030</v>
      </c>
      <c r="M206" s="78">
        <v>2031</v>
      </c>
      <c r="N206" s="79">
        <v>2032</v>
      </c>
      <c r="O206" s="78">
        <v>2033</v>
      </c>
      <c r="P206" s="79">
        <v>2034</v>
      </c>
      <c r="Q206" s="78">
        <v>2035</v>
      </c>
      <c r="R206" s="79">
        <v>2036</v>
      </c>
      <c r="S206" s="78">
        <v>2037</v>
      </c>
      <c r="T206" s="79">
        <v>2038</v>
      </c>
      <c r="U206" s="78">
        <v>2039</v>
      </c>
      <c r="V206" s="79">
        <v>2040</v>
      </c>
    </row>
    <row r="207" spans="1:22" x14ac:dyDescent="0.3">
      <c r="A207" s="526"/>
      <c r="B207" s="33" t="s">
        <v>43</v>
      </c>
      <c r="C207" s="81" t="str">
        <f>IFERROR(SR_demand_forecast!C202*Historical_Cost!#REF!,"-")</f>
        <v>-</v>
      </c>
      <c r="D207" s="81" t="str">
        <f>IFERROR(SR_demand_forecast!D202*Historical_Cost!#REF!,"-")</f>
        <v>-</v>
      </c>
      <c r="E207" s="81" t="str">
        <f>IFERROR(SR_demand_forecast!E202*Historical_Cost!#REF!,"-")</f>
        <v>-</v>
      </c>
      <c r="F207" s="81" t="str">
        <f>IFERROR(SR_demand_forecast!F202*Historical_Cost!#REF!,"-")</f>
        <v>-</v>
      </c>
      <c r="G207" s="81" t="str">
        <f>IFERROR(SR_demand_forecast!G202*Historical_Cost!#REF!,"-")</f>
        <v>-</v>
      </c>
      <c r="H207" s="81" t="str">
        <f>IFERROR(SR_demand_forecast!H202*Historical_Cost!#REF!,"-")</f>
        <v>-</v>
      </c>
      <c r="I207" s="81" t="str">
        <f>IFERROR(SR_demand_forecast!I202*Historical_Cost!#REF!,"-")</f>
        <v>-</v>
      </c>
      <c r="J207" s="81" t="str">
        <f>IFERROR(SR_demand_forecast!J202*Historical_Cost!#REF!,"-")</f>
        <v>-</v>
      </c>
      <c r="K207" s="81" t="str">
        <f>IFERROR(SR_demand_forecast!K202*Historical_Cost!#REF!,"-")</f>
        <v>-</v>
      </c>
      <c r="L207" s="81" t="str">
        <f>IFERROR(SR_demand_forecast!L202*Historical_Cost!#REF!,"-")</f>
        <v>-</v>
      </c>
      <c r="M207" s="81" t="str">
        <f>IFERROR(SR_demand_forecast!M202*Historical_Cost!#REF!,"-")</f>
        <v>-</v>
      </c>
      <c r="N207" s="81" t="str">
        <f>IFERROR(SR_demand_forecast!N202*Historical_Cost!#REF!,"-")</f>
        <v>-</v>
      </c>
      <c r="O207" s="81" t="str">
        <f>IFERROR(SR_demand_forecast!O202*Historical_Cost!#REF!,"-")</f>
        <v>-</v>
      </c>
      <c r="P207" s="81" t="str">
        <f>IFERROR(SR_demand_forecast!P202*Historical_Cost!#REF!,"-")</f>
        <v>-</v>
      </c>
      <c r="Q207" s="81" t="str">
        <f>IFERROR(SR_demand_forecast!Q202*Historical_Cost!#REF!,"-")</f>
        <v>-</v>
      </c>
      <c r="R207" s="81" t="str">
        <f>IFERROR(SR_demand_forecast!R202*Historical_Cost!#REF!,"-")</f>
        <v>-</v>
      </c>
      <c r="S207" s="81" t="str">
        <f>IFERROR(SR_demand_forecast!S202*Historical_Cost!#REF!,"-")</f>
        <v>-</v>
      </c>
      <c r="T207" s="81" t="str">
        <f>IFERROR(SR_demand_forecast!T202*Historical_Cost!#REF!,"-")</f>
        <v>-</v>
      </c>
      <c r="U207" s="81" t="str">
        <f>IFERROR(SR_demand_forecast!U202*Historical_Cost!#REF!,"-")</f>
        <v>-</v>
      </c>
      <c r="V207" s="81" t="str">
        <f>IFERROR(SR_demand_forecast!V202*Historical_Cost!#REF!,"-")</f>
        <v>-</v>
      </c>
    </row>
    <row r="208" spans="1:22" x14ac:dyDescent="0.3">
      <c r="A208" s="526"/>
      <c r="B208" s="33" t="s">
        <v>41</v>
      </c>
      <c r="C208" s="81" t="str">
        <f>IFERROR(SR_demand_forecast!C203*Historical_Cost!#REF!,"-")</f>
        <v>-</v>
      </c>
      <c r="D208" s="81" t="str">
        <f>IFERROR(SR_demand_forecast!D203*Historical_Cost!#REF!,"-")</f>
        <v>-</v>
      </c>
      <c r="E208" s="81" t="str">
        <f>IFERROR(SR_demand_forecast!E203*Historical_Cost!#REF!,"-")</f>
        <v>-</v>
      </c>
      <c r="F208" s="81" t="str">
        <f>IFERROR(SR_demand_forecast!F203*Historical_Cost!#REF!,"-")</f>
        <v>-</v>
      </c>
      <c r="G208" s="81" t="str">
        <f>IFERROR(SR_demand_forecast!G203*Historical_Cost!#REF!,"-")</f>
        <v>-</v>
      </c>
      <c r="H208" s="81" t="str">
        <f>IFERROR(SR_demand_forecast!H203*Historical_Cost!#REF!,"-")</f>
        <v>-</v>
      </c>
      <c r="I208" s="81" t="str">
        <f>IFERROR(SR_demand_forecast!I203*Historical_Cost!#REF!,"-")</f>
        <v>-</v>
      </c>
      <c r="J208" s="81" t="str">
        <f>IFERROR(SR_demand_forecast!J203*Historical_Cost!#REF!,"-")</f>
        <v>-</v>
      </c>
      <c r="K208" s="81" t="str">
        <f>IFERROR(SR_demand_forecast!K203*Historical_Cost!#REF!,"-")</f>
        <v>-</v>
      </c>
      <c r="L208" s="81" t="str">
        <f>IFERROR(SR_demand_forecast!L203*Historical_Cost!#REF!,"-")</f>
        <v>-</v>
      </c>
      <c r="M208" s="81" t="str">
        <f>IFERROR(SR_demand_forecast!M203*Historical_Cost!#REF!,"-")</f>
        <v>-</v>
      </c>
      <c r="N208" s="81" t="str">
        <f>IFERROR(SR_demand_forecast!N203*Historical_Cost!#REF!,"-")</f>
        <v>-</v>
      </c>
      <c r="O208" s="81" t="str">
        <f>IFERROR(SR_demand_forecast!O203*Historical_Cost!#REF!,"-")</f>
        <v>-</v>
      </c>
      <c r="P208" s="81" t="str">
        <f>IFERROR(SR_demand_forecast!P203*Historical_Cost!#REF!,"-")</f>
        <v>-</v>
      </c>
      <c r="Q208" s="81" t="str">
        <f>IFERROR(SR_demand_forecast!Q203*Historical_Cost!#REF!,"-")</f>
        <v>-</v>
      </c>
      <c r="R208" s="81" t="str">
        <f>IFERROR(SR_demand_forecast!R203*Historical_Cost!#REF!,"-")</f>
        <v>-</v>
      </c>
      <c r="S208" s="81" t="str">
        <f>IFERROR(SR_demand_forecast!S203*Historical_Cost!#REF!,"-")</f>
        <v>-</v>
      </c>
      <c r="T208" s="81" t="str">
        <f>IFERROR(SR_demand_forecast!T203*Historical_Cost!#REF!,"-")</f>
        <v>-</v>
      </c>
      <c r="U208" s="81" t="str">
        <f>IFERROR(SR_demand_forecast!U203*Historical_Cost!#REF!,"-")</f>
        <v>-</v>
      </c>
      <c r="V208" s="81" t="str">
        <f>IFERROR(SR_demand_forecast!V203*Historical_Cost!#REF!,"-")</f>
        <v>-</v>
      </c>
    </row>
    <row r="209" spans="1:22" x14ac:dyDescent="0.3">
      <c r="A209" s="526"/>
      <c r="B209" s="33" t="s">
        <v>40</v>
      </c>
      <c r="C209" s="81" t="str">
        <f>IFERROR(SR_demand_forecast!C204*Historical_Cost!#REF!,"-")</f>
        <v>-</v>
      </c>
      <c r="D209" s="81" t="str">
        <f>IFERROR(SR_demand_forecast!D204*Historical_Cost!#REF!,"-")</f>
        <v>-</v>
      </c>
      <c r="E209" s="81" t="str">
        <f>IFERROR(SR_demand_forecast!E204*Historical_Cost!#REF!,"-")</f>
        <v>-</v>
      </c>
      <c r="F209" s="81" t="str">
        <f>IFERROR(SR_demand_forecast!F204*Historical_Cost!#REF!,"-")</f>
        <v>-</v>
      </c>
      <c r="G209" s="81" t="str">
        <f>IFERROR(SR_demand_forecast!G204*Historical_Cost!#REF!,"-")</f>
        <v>-</v>
      </c>
      <c r="H209" s="81" t="str">
        <f>IFERROR(SR_demand_forecast!H204*Historical_Cost!#REF!,"-")</f>
        <v>-</v>
      </c>
      <c r="I209" s="81" t="str">
        <f>IFERROR(SR_demand_forecast!I204*Historical_Cost!#REF!,"-")</f>
        <v>-</v>
      </c>
      <c r="J209" s="81" t="str">
        <f>IFERROR(SR_demand_forecast!J204*Historical_Cost!#REF!,"-")</f>
        <v>-</v>
      </c>
      <c r="K209" s="81" t="str">
        <f>IFERROR(SR_demand_forecast!K204*Historical_Cost!#REF!,"-")</f>
        <v>-</v>
      </c>
      <c r="L209" s="81" t="str">
        <f>IFERROR(SR_demand_forecast!L204*Historical_Cost!#REF!,"-")</f>
        <v>-</v>
      </c>
      <c r="M209" s="81" t="str">
        <f>IFERROR(SR_demand_forecast!M204*Historical_Cost!#REF!,"-")</f>
        <v>-</v>
      </c>
      <c r="N209" s="81" t="str">
        <f>IFERROR(SR_demand_forecast!N204*Historical_Cost!#REF!,"-")</f>
        <v>-</v>
      </c>
      <c r="O209" s="81" t="str">
        <f>IFERROR(SR_demand_forecast!O204*Historical_Cost!#REF!,"-")</f>
        <v>-</v>
      </c>
      <c r="P209" s="81" t="str">
        <f>IFERROR(SR_demand_forecast!P204*Historical_Cost!#REF!,"-")</f>
        <v>-</v>
      </c>
      <c r="Q209" s="81" t="str">
        <f>IFERROR(SR_demand_forecast!Q204*Historical_Cost!#REF!,"-")</f>
        <v>-</v>
      </c>
      <c r="R209" s="81" t="str">
        <f>IFERROR(SR_demand_forecast!R204*Historical_Cost!#REF!,"-")</f>
        <v>-</v>
      </c>
      <c r="S209" s="81" t="str">
        <f>IFERROR(SR_demand_forecast!S204*Historical_Cost!#REF!,"-")</f>
        <v>-</v>
      </c>
      <c r="T209" s="81" t="str">
        <f>IFERROR(SR_demand_forecast!T204*Historical_Cost!#REF!,"-")</f>
        <v>-</v>
      </c>
      <c r="U209" s="81" t="str">
        <f>IFERROR(SR_demand_forecast!U204*Historical_Cost!#REF!,"-")</f>
        <v>-</v>
      </c>
      <c r="V209" s="81" t="str">
        <f>IFERROR(SR_demand_forecast!V204*Historical_Cost!#REF!,"-")</f>
        <v>-</v>
      </c>
    </row>
    <row r="210" spans="1:22" x14ac:dyDescent="0.3">
      <c r="A210" s="526"/>
      <c r="B210" s="33" t="s">
        <v>80</v>
      </c>
      <c r="C210" s="81" t="str">
        <f>IFERROR(SR_demand_forecast!C205*Historical_Cost!#REF!,"-")</f>
        <v>-</v>
      </c>
      <c r="D210" s="81" t="str">
        <f>IFERROR(SR_demand_forecast!D205*Historical_Cost!#REF!,"-")</f>
        <v>-</v>
      </c>
      <c r="E210" s="81" t="str">
        <f>IFERROR(SR_demand_forecast!E205*Historical_Cost!#REF!,"-")</f>
        <v>-</v>
      </c>
      <c r="F210" s="81" t="str">
        <f>IFERROR(SR_demand_forecast!F205*Historical_Cost!#REF!,"-")</f>
        <v>-</v>
      </c>
      <c r="G210" s="81" t="str">
        <f>IFERROR(SR_demand_forecast!G205*Historical_Cost!#REF!,"-")</f>
        <v>-</v>
      </c>
      <c r="H210" s="81" t="str">
        <f>IFERROR(SR_demand_forecast!H205*Historical_Cost!#REF!,"-")</f>
        <v>-</v>
      </c>
      <c r="I210" s="81" t="str">
        <f>IFERROR(SR_demand_forecast!I205*Historical_Cost!#REF!,"-")</f>
        <v>-</v>
      </c>
      <c r="J210" s="81" t="str">
        <f>IFERROR(SR_demand_forecast!J205*Historical_Cost!#REF!,"-")</f>
        <v>-</v>
      </c>
      <c r="K210" s="81" t="str">
        <f>IFERROR(SR_demand_forecast!K205*Historical_Cost!#REF!,"-")</f>
        <v>-</v>
      </c>
      <c r="L210" s="81" t="str">
        <f>IFERROR(SR_demand_forecast!L205*Historical_Cost!#REF!,"-")</f>
        <v>-</v>
      </c>
      <c r="M210" s="81" t="str">
        <f>IFERROR(SR_demand_forecast!M205*Historical_Cost!#REF!,"-")</f>
        <v>-</v>
      </c>
      <c r="N210" s="81" t="str">
        <f>IFERROR(SR_demand_forecast!N205*Historical_Cost!#REF!,"-")</f>
        <v>-</v>
      </c>
      <c r="O210" s="81" t="str">
        <f>IFERROR(SR_demand_forecast!O205*Historical_Cost!#REF!,"-")</f>
        <v>-</v>
      </c>
      <c r="P210" s="81" t="str">
        <f>IFERROR(SR_demand_forecast!P205*Historical_Cost!#REF!,"-")</f>
        <v>-</v>
      </c>
      <c r="Q210" s="81" t="str">
        <f>IFERROR(SR_demand_forecast!Q205*Historical_Cost!#REF!,"-")</f>
        <v>-</v>
      </c>
      <c r="R210" s="81" t="str">
        <f>IFERROR(SR_demand_forecast!R205*Historical_Cost!#REF!,"-")</f>
        <v>-</v>
      </c>
      <c r="S210" s="81" t="str">
        <f>IFERROR(SR_demand_forecast!S205*Historical_Cost!#REF!,"-")</f>
        <v>-</v>
      </c>
      <c r="T210" s="81" t="str">
        <f>IFERROR(SR_demand_forecast!T205*Historical_Cost!#REF!,"-")</f>
        <v>-</v>
      </c>
      <c r="U210" s="81" t="str">
        <f>IFERROR(SR_demand_forecast!U205*Historical_Cost!#REF!,"-")</f>
        <v>-</v>
      </c>
      <c r="V210" s="81" t="str">
        <f>IFERROR(SR_demand_forecast!V205*Historical_Cost!#REF!,"-")</f>
        <v>-</v>
      </c>
    </row>
    <row r="211" spans="1:22" x14ac:dyDescent="0.3">
      <c r="A211" s="526"/>
      <c r="B211" s="33" t="s">
        <v>44</v>
      </c>
      <c r="C211" s="81" t="str">
        <f>IFERROR(SR_demand_forecast!C206*Historical_Cost!#REF!,"-")</f>
        <v>-</v>
      </c>
      <c r="D211" s="81" t="str">
        <f>IFERROR(SR_demand_forecast!D206*Historical_Cost!#REF!,"-")</f>
        <v>-</v>
      </c>
      <c r="E211" s="81" t="str">
        <f>IFERROR(SR_demand_forecast!E206*Historical_Cost!#REF!,"-")</f>
        <v>-</v>
      </c>
      <c r="F211" s="81" t="str">
        <f>IFERROR(SR_demand_forecast!F206*Historical_Cost!#REF!,"-")</f>
        <v>-</v>
      </c>
      <c r="G211" s="81" t="str">
        <f>IFERROR(SR_demand_forecast!G206*Historical_Cost!#REF!,"-")</f>
        <v>-</v>
      </c>
      <c r="H211" s="81" t="str">
        <f>IFERROR(SR_demand_forecast!H206*Historical_Cost!#REF!,"-")</f>
        <v>-</v>
      </c>
      <c r="I211" s="81" t="str">
        <f>IFERROR(SR_demand_forecast!I206*Historical_Cost!#REF!,"-")</f>
        <v>-</v>
      </c>
      <c r="J211" s="81" t="str">
        <f>IFERROR(SR_demand_forecast!J206*Historical_Cost!#REF!,"-")</f>
        <v>-</v>
      </c>
      <c r="K211" s="81" t="str">
        <f>IFERROR(SR_demand_forecast!K206*Historical_Cost!#REF!,"-")</f>
        <v>-</v>
      </c>
      <c r="L211" s="81" t="str">
        <f>IFERROR(SR_demand_forecast!L206*Historical_Cost!#REF!,"-")</f>
        <v>-</v>
      </c>
      <c r="M211" s="81" t="str">
        <f>IFERROR(SR_demand_forecast!M206*Historical_Cost!#REF!,"-")</f>
        <v>-</v>
      </c>
      <c r="N211" s="81" t="str">
        <f>IFERROR(SR_demand_forecast!N206*Historical_Cost!#REF!,"-")</f>
        <v>-</v>
      </c>
      <c r="O211" s="81" t="str">
        <f>IFERROR(SR_demand_forecast!O206*Historical_Cost!#REF!,"-")</f>
        <v>-</v>
      </c>
      <c r="P211" s="81" t="str">
        <f>IFERROR(SR_demand_forecast!P206*Historical_Cost!#REF!,"-")</f>
        <v>-</v>
      </c>
      <c r="Q211" s="81" t="str">
        <f>IFERROR(SR_demand_forecast!Q206*Historical_Cost!#REF!,"-")</f>
        <v>-</v>
      </c>
      <c r="R211" s="81" t="str">
        <f>IFERROR(SR_demand_forecast!R206*Historical_Cost!#REF!,"-")</f>
        <v>-</v>
      </c>
      <c r="S211" s="81" t="str">
        <f>IFERROR(SR_demand_forecast!S206*Historical_Cost!#REF!,"-")</f>
        <v>-</v>
      </c>
      <c r="T211" s="81" t="str">
        <f>IFERROR(SR_demand_forecast!T206*Historical_Cost!#REF!,"-")</f>
        <v>-</v>
      </c>
      <c r="U211" s="81" t="str">
        <f>IFERROR(SR_demand_forecast!U206*Historical_Cost!#REF!,"-")</f>
        <v>-</v>
      </c>
      <c r="V211" s="81" t="str">
        <f>IFERROR(SR_demand_forecast!V206*Historical_Cost!#REF!,"-")</f>
        <v>-</v>
      </c>
    </row>
    <row r="212" spans="1:22" x14ac:dyDescent="0.3">
      <c r="A212" s="526"/>
      <c r="B212" s="33" t="s">
        <v>81</v>
      </c>
      <c r="C212" s="81" t="str">
        <f>IFERROR(SR_demand_forecast!C207*Historical_Cost!#REF!,"-")</f>
        <v>-</v>
      </c>
      <c r="D212" s="81" t="str">
        <f>IFERROR(SR_demand_forecast!D207*Historical_Cost!#REF!,"-")</f>
        <v>-</v>
      </c>
      <c r="E212" s="81" t="str">
        <f>IFERROR(SR_demand_forecast!E207*Historical_Cost!#REF!,"-")</f>
        <v>-</v>
      </c>
      <c r="F212" s="81" t="str">
        <f>IFERROR(SR_demand_forecast!F207*Historical_Cost!#REF!,"-")</f>
        <v>-</v>
      </c>
      <c r="G212" s="81" t="str">
        <f>IFERROR(SR_demand_forecast!G207*Historical_Cost!#REF!,"-")</f>
        <v>-</v>
      </c>
      <c r="H212" s="81" t="str">
        <f>IFERROR(SR_demand_forecast!H207*Historical_Cost!#REF!,"-")</f>
        <v>-</v>
      </c>
      <c r="I212" s="81" t="str">
        <f>IFERROR(SR_demand_forecast!I207*Historical_Cost!#REF!,"-")</f>
        <v>-</v>
      </c>
      <c r="J212" s="81" t="str">
        <f>IFERROR(SR_demand_forecast!J207*Historical_Cost!#REF!,"-")</f>
        <v>-</v>
      </c>
      <c r="K212" s="81" t="str">
        <f>IFERROR(SR_demand_forecast!K207*Historical_Cost!#REF!,"-")</f>
        <v>-</v>
      </c>
      <c r="L212" s="81" t="str">
        <f>IFERROR(SR_demand_forecast!L207*Historical_Cost!#REF!,"-")</f>
        <v>-</v>
      </c>
      <c r="M212" s="81" t="str">
        <f>IFERROR(SR_demand_forecast!M207*Historical_Cost!#REF!,"-")</f>
        <v>-</v>
      </c>
      <c r="N212" s="81" t="str">
        <f>IFERROR(SR_demand_forecast!N207*Historical_Cost!#REF!,"-")</f>
        <v>-</v>
      </c>
      <c r="O212" s="81" t="str">
        <f>IFERROR(SR_demand_forecast!O207*Historical_Cost!#REF!,"-")</f>
        <v>-</v>
      </c>
      <c r="P212" s="81" t="str">
        <f>IFERROR(SR_demand_forecast!P207*Historical_Cost!#REF!,"-")</f>
        <v>-</v>
      </c>
      <c r="Q212" s="81" t="str">
        <f>IFERROR(SR_demand_forecast!Q207*Historical_Cost!#REF!,"-")</f>
        <v>-</v>
      </c>
      <c r="R212" s="81" t="str">
        <f>IFERROR(SR_demand_forecast!R207*Historical_Cost!#REF!,"-")</f>
        <v>-</v>
      </c>
      <c r="S212" s="81" t="str">
        <f>IFERROR(SR_demand_forecast!S207*Historical_Cost!#REF!,"-")</f>
        <v>-</v>
      </c>
      <c r="T212" s="81" t="str">
        <f>IFERROR(SR_demand_forecast!T207*Historical_Cost!#REF!,"-")</f>
        <v>-</v>
      </c>
      <c r="U212" s="81" t="str">
        <f>IFERROR(SR_demand_forecast!U207*Historical_Cost!#REF!,"-")</f>
        <v>-</v>
      </c>
      <c r="V212" s="81" t="str">
        <f>IFERROR(SR_demand_forecast!V207*Historical_Cost!#REF!,"-")</f>
        <v>-</v>
      </c>
    </row>
    <row r="213" spans="1:22" x14ac:dyDescent="0.3">
      <c r="A213" s="526"/>
      <c r="B213" s="33" t="s">
        <v>42</v>
      </c>
      <c r="C213" s="81" t="str">
        <f>IFERROR(SR_demand_forecast!C208*Historical_Cost!#REF!,"-")</f>
        <v>-</v>
      </c>
      <c r="D213" s="81" t="str">
        <f>IFERROR(SR_demand_forecast!D208*Historical_Cost!#REF!,"-")</f>
        <v>-</v>
      </c>
      <c r="E213" s="81" t="str">
        <f>IFERROR(SR_demand_forecast!E208*Historical_Cost!#REF!,"-")</f>
        <v>-</v>
      </c>
      <c r="F213" s="81" t="str">
        <f>IFERROR(SR_demand_forecast!F208*Historical_Cost!#REF!,"-")</f>
        <v>-</v>
      </c>
      <c r="G213" s="81" t="str">
        <f>IFERROR(SR_demand_forecast!G208*Historical_Cost!#REF!,"-")</f>
        <v>-</v>
      </c>
      <c r="H213" s="81" t="str">
        <f>IFERROR(SR_demand_forecast!H208*Historical_Cost!#REF!,"-")</f>
        <v>-</v>
      </c>
      <c r="I213" s="81" t="str">
        <f>IFERROR(SR_demand_forecast!I208*Historical_Cost!#REF!,"-")</f>
        <v>-</v>
      </c>
      <c r="J213" s="81" t="str">
        <f>IFERROR(SR_demand_forecast!J208*Historical_Cost!#REF!,"-")</f>
        <v>-</v>
      </c>
      <c r="K213" s="81" t="str">
        <f>IFERROR(SR_demand_forecast!K208*Historical_Cost!#REF!,"-")</f>
        <v>-</v>
      </c>
      <c r="L213" s="81" t="str">
        <f>IFERROR(SR_demand_forecast!L208*Historical_Cost!#REF!,"-")</f>
        <v>-</v>
      </c>
      <c r="M213" s="81" t="str">
        <f>IFERROR(SR_demand_forecast!M208*Historical_Cost!#REF!,"-")</f>
        <v>-</v>
      </c>
      <c r="N213" s="81" t="str">
        <f>IFERROR(SR_demand_forecast!N208*Historical_Cost!#REF!,"-")</f>
        <v>-</v>
      </c>
      <c r="O213" s="81" t="str">
        <f>IFERROR(SR_demand_forecast!O208*Historical_Cost!#REF!,"-")</f>
        <v>-</v>
      </c>
      <c r="P213" s="81" t="str">
        <f>IFERROR(SR_demand_forecast!P208*Historical_Cost!#REF!,"-")</f>
        <v>-</v>
      </c>
      <c r="Q213" s="81" t="str">
        <f>IFERROR(SR_demand_forecast!Q208*Historical_Cost!#REF!,"-")</f>
        <v>-</v>
      </c>
      <c r="R213" s="81" t="str">
        <f>IFERROR(SR_demand_forecast!R208*Historical_Cost!#REF!,"-")</f>
        <v>-</v>
      </c>
      <c r="S213" s="81" t="str">
        <f>IFERROR(SR_demand_forecast!S208*Historical_Cost!#REF!,"-")</f>
        <v>-</v>
      </c>
      <c r="T213" s="81" t="str">
        <f>IFERROR(SR_demand_forecast!T208*Historical_Cost!#REF!,"-")</f>
        <v>-</v>
      </c>
      <c r="U213" s="81" t="str">
        <f>IFERROR(SR_demand_forecast!U208*Historical_Cost!#REF!,"-")</f>
        <v>-</v>
      </c>
      <c r="V213" s="81" t="str">
        <f>IFERROR(SR_demand_forecast!V208*Historical_Cost!#REF!,"-")</f>
        <v>-</v>
      </c>
    </row>
    <row r="214" spans="1:22" x14ac:dyDescent="0.3">
      <c r="A214" s="526"/>
      <c r="B214" s="33" t="s">
        <v>45</v>
      </c>
      <c r="C214" s="81" t="str">
        <f>IFERROR(SR_demand_forecast!C209*Historical_Cost!#REF!,"-")</f>
        <v>-</v>
      </c>
      <c r="D214" s="81" t="str">
        <f>IFERROR(SR_demand_forecast!D209*Historical_Cost!#REF!,"-")</f>
        <v>-</v>
      </c>
      <c r="E214" s="81" t="str">
        <f>IFERROR(SR_demand_forecast!E209*Historical_Cost!#REF!,"-")</f>
        <v>-</v>
      </c>
      <c r="F214" s="81" t="str">
        <f>IFERROR(SR_demand_forecast!F209*Historical_Cost!#REF!,"-")</f>
        <v>-</v>
      </c>
      <c r="G214" s="81" t="str">
        <f>IFERROR(SR_demand_forecast!G209*Historical_Cost!#REF!,"-")</f>
        <v>-</v>
      </c>
      <c r="H214" s="81" t="str">
        <f>IFERROR(SR_demand_forecast!H209*Historical_Cost!#REF!,"-")</f>
        <v>-</v>
      </c>
      <c r="I214" s="81" t="str">
        <f>IFERROR(SR_demand_forecast!I209*Historical_Cost!#REF!,"-")</f>
        <v>-</v>
      </c>
      <c r="J214" s="81" t="str">
        <f>IFERROR(SR_demand_forecast!J209*Historical_Cost!#REF!,"-")</f>
        <v>-</v>
      </c>
      <c r="K214" s="81" t="str">
        <f>IFERROR(SR_demand_forecast!K209*Historical_Cost!#REF!,"-")</f>
        <v>-</v>
      </c>
      <c r="L214" s="81" t="str">
        <f>IFERROR(SR_demand_forecast!L209*Historical_Cost!#REF!,"-")</f>
        <v>-</v>
      </c>
      <c r="M214" s="81" t="str">
        <f>IFERROR(SR_demand_forecast!M209*Historical_Cost!#REF!,"-")</f>
        <v>-</v>
      </c>
      <c r="N214" s="81" t="str">
        <f>IFERROR(SR_demand_forecast!N209*Historical_Cost!#REF!,"-")</f>
        <v>-</v>
      </c>
      <c r="O214" s="81" t="str">
        <f>IFERROR(SR_demand_forecast!O209*Historical_Cost!#REF!,"-")</f>
        <v>-</v>
      </c>
      <c r="P214" s="81" t="str">
        <f>IFERROR(SR_demand_forecast!P209*Historical_Cost!#REF!,"-")</f>
        <v>-</v>
      </c>
      <c r="Q214" s="81" t="str">
        <f>IFERROR(SR_demand_forecast!Q209*Historical_Cost!#REF!,"-")</f>
        <v>-</v>
      </c>
      <c r="R214" s="81" t="str">
        <f>IFERROR(SR_demand_forecast!R209*Historical_Cost!#REF!,"-")</f>
        <v>-</v>
      </c>
      <c r="S214" s="81" t="str">
        <f>IFERROR(SR_demand_forecast!S209*Historical_Cost!#REF!,"-")</f>
        <v>-</v>
      </c>
      <c r="T214" s="81" t="str">
        <f>IFERROR(SR_demand_forecast!T209*Historical_Cost!#REF!,"-")</f>
        <v>-</v>
      </c>
      <c r="U214" s="81" t="str">
        <f>IFERROR(SR_demand_forecast!U209*Historical_Cost!#REF!,"-")</f>
        <v>-</v>
      </c>
      <c r="V214" s="81" t="str">
        <f>IFERROR(SR_demand_forecast!V209*Historical_Cost!#REF!,"-")</f>
        <v>-</v>
      </c>
    </row>
    <row r="215" spans="1:22" x14ac:dyDescent="0.3">
      <c r="A215" s="526"/>
      <c r="B215" s="33" t="s">
        <v>84</v>
      </c>
      <c r="C215" s="128">
        <f t="shared" ref="C215:V215" si="11">SUM(C207:C214)</f>
        <v>0</v>
      </c>
      <c r="D215" s="128">
        <f t="shared" si="11"/>
        <v>0</v>
      </c>
      <c r="E215" s="128">
        <f t="shared" si="11"/>
        <v>0</v>
      </c>
      <c r="F215" s="128">
        <f t="shared" si="11"/>
        <v>0</v>
      </c>
      <c r="G215" s="128">
        <f t="shared" si="11"/>
        <v>0</v>
      </c>
      <c r="H215" s="128">
        <f t="shared" si="11"/>
        <v>0</v>
      </c>
      <c r="I215" s="128">
        <f t="shared" si="11"/>
        <v>0</v>
      </c>
      <c r="J215" s="128">
        <f t="shared" si="11"/>
        <v>0</v>
      </c>
      <c r="K215" s="128">
        <f t="shared" si="11"/>
        <v>0</v>
      </c>
      <c r="L215" s="128">
        <f t="shared" si="11"/>
        <v>0</v>
      </c>
      <c r="M215" s="128">
        <f t="shared" si="11"/>
        <v>0</v>
      </c>
      <c r="N215" s="128">
        <f t="shared" si="11"/>
        <v>0</v>
      </c>
      <c r="O215" s="128">
        <f t="shared" si="11"/>
        <v>0</v>
      </c>
      <c r="P215" s="128">
        <f t="shared" si="11"/>
        <v>0</v>
      </c>
      <c r="Q215" s="128">
        <f t="shared" si="11"/>
        <v>0</v>
      </c>
      <c r="R215" s="128">
        <f t="shared" si="11"/>
        <v>0</v>
      </c>
      <c r="S215" s="128">
        <f t="shared" si="11"/>
        <v>0</v>
      </c>
      <c r="T215" s="128">
        <f t="shared" si="11"/>
        <v>0</v>
      </c>
      <c r="U215" s="128">
        <f t="shared" si="11"/>
        <v>0</v>
      </c>
      <c r="V215" s="128">
        <f t="shared" si="11"/>
        <v>0</v>
      </c>
    </row>
    <row r="216" spans="1:22" x14ac:dyDescent="0.3">
      <c r="A216" s="526"/>
    </row>
    <row r="217" spans="1:22" x14ac:dyDescent="0.3">
      <c r="A217" s="526"/>
    </row>
    <row r="218" spans="1:22" x14ac:dyDescent="0.3">
      <c r="A218" s="526"/>
    </row>
    <row r="219" spans="1:22" x14ac:dyDescent="0.3">
      <c r="A219" s="526"/>
    </row>
    <row r="220" spans="1:22" x14ac:dyDescent="0.3">
      <c r="A220" s="526"/>
    </row>
    <row r="221" spans="1:22" x14ac:dyDescent="0.3">
      <c r="A221" s="526"/>
    </row>
    <row r="222" spans="1:22" x14ac:dyDescent="0.3">
      <c r="A222" s="526"/>
    </row>
    <row r="223" spans="1:22" x14ac:dyDescent="0.3">
      <c r="A223" s="526"/>
    </row>
    <row r="224" spans="1:22" x14ac:dyDescent="0.3">
      <c r="A224" s="526"/>
    </row>
  </sheetData>
  <mergeCells count="4">
    <mergeCell ref="A1:A56"/>
    <mergeCell ref="A57:A112"/>
    <mergeCell ref="A113:A168"/>
    <mergeCell ref="A169:A224"/>
  </mergeCells>
  <pageMargins left="0.7" right="0.7" top="0.75" bottom="0.75" header="0.3" footer="0.3"/>
  <pageSetup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B7BD12-77F9-4841-8B34-835DE85B165A}">
  <sheetPr>
    <tabColor rgb="FF105BD8"/>
  </sheetPr>
  <dimension ref="A1"/>
  <sheetViews>
    <sheetView zoomScaleNormal="100" workbookViewId="0">
      <selection activeCell="D24" sqref="D24"/>
    </sheetView>
  </sheetViews>
  <sheetFormatPr defaultRowHeight="14.4" x14ac:dyDescent="0.3"/>
  <cols>
    <col min="1" max="16384" width="8.88671875" style="12"/>
  </cols>
  <sheetData/>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CE5D62-ECFF-4D13-9E28-0520ACBBFDDD}">
  <sheetPr>
    <tabColor rgb="FF105BD8"/>
  </sheetPr>
  <dimension ref="B84"/>
  <sheetViews>
    <sheetView zoomScaleNormal="100" workbookViewId="0">
      <selection activeCell="D24" sqref="D24"/>
    </sheetView>
  </sheetViews>
  <sheetFormatPr defaultRowHeight="14.4" x14ac:dyDescent="0.3"/>
  <cols>
    <col min="1" max="16384" width="8.88671875" style="12"/>
  </cols>
  <sheetData>
    <row r="84" spans="2:2" x14ac:dyDescent="0.3">
      <c r="B84" s="29" t="s">
        <v>120</v>
      </c>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D266AB-7AF2-4BB0-9DB1-A51154AD5216}">
  <sheetPr>
    <tabColor rgb="FF105BD8"/>
  </sheetPr>
  <dimension ref="B84"/>
  <sheetViews>
    <sheetView zoomScaleNormal="100" workbookViewId="0">
      <selection activeCell="D24" sqref="D24"/>
    </sheetView>
  </sheetViews>
  <sheetFormatPr defaultRowHeight="14.4" x14ac:dyDescent="0.3"/>
  <cols>
    <col min="1" max="16384" width="8.88671875" style="12"/>
  </cols>
  <sheetData>
    <row r="84" spans="2:2" x14ac:dyDescent="0.3">
      <c r="B84" s="29" t="s">
        <v>120</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5CBDC3-B6D7-4A53-8051-F94974E02BF0}">
  <sheetPr>
    <tabColor rgb="FF105BD8"/>
  </sheetPr>
  <dimension ref="A1"/>
  <sheetViews>
    <sheetView zoomScaleNormal="100" workbookViewId="0">
      <selection activeCell="D24" sqref="D24"/>
    </sheetView>
  </sheetViews>
  <sheetFormatPr defaultRowHeight="14.4" x14ac:dyDescent="0.3"/>
  <cols>
    <col min="1" max="16384" width="8.88671875" style="12"/>
  </cols>
  <sheetData/>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7DFFC6-1F62-4147-80C1-5D5D4BF7602C}">
  <sheetPr>
    <tabColor rgb="FF105BD8"/>
  </sheetPr>
  <dimension ref="A1"/>
  <sheetViews>
    <sheetView zoomScaleNormal="100" workbookViewId="0">
      <selection activeCell="D24" sqref="D24"/>
    </sheetView>
  </sheetViews>
  <sheetFormatPr defaultRowHeight="14.4" x14ac:dyDescent="0.3"/>
  <cols>
    <col min="1" max="16384" width="8.88671875" style="12"/>
  </cols>
  <sheetData/>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22771-5D64-4B3B-B1A1-E6BE3E4AD752}">
  <sheetPr>
    <tabColor rgb="FF105BD8"/>
  </sheetPr>
  <dimension ref="A1"/>
  <sheetViews>
    <sheetView zoomScaleNormal="100" workbookViewId="0">
      <selection activeCell="D24" sqref="D24"/>
    </sheetView>
  </sheetViews>
  <sheetFormatPr defaultRowHeight="14.4" x14ac:dyDescent="0.3"/>
  <cols>
    <col min="1" max="16384" width="8.88671875" style="12"/>
  </cols>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30</vt:i4>
      </vt:variant>
    </vt:vector>
  </HeadingPairs>
  <TitlesOfParts>
    <vt:vector size="30" baseType="lpstr">
      <vt:lpstr>Index</vt:lpstr>
      <vt:lpstr>Read_Me</vt:lpstr>
      <vt:lpstr>Main</vt:lpstr>
      <vt:lpstr>List_Options</vt:lpstr>
      <vt:lpstr>Historical_Cost</vt:lpstr>
      <vt:lpstr>Current_Operational_Cost</vt:lpstr>
      <vt:lpstr>Future_Cost</vt:lpstr>
      <vt:lpstr>Current</vt:lpstr>
      <vt:lpstr>DTE_Lifespans_existing</vt:lpstr>
      <vt:lpstr>Use_case_lifespans</vt:lpstr>
      <vt:lpstr>New_missions</vt:lpstr>
      <vt:lpstr>lifespans_all</vt:lpstr>
      <vt:lpstr>Current_DTE</vt:lpstr>
      <vt:lpstr>DTE_mission_minutes</vt:lpstr>
      <vt:lpstr>DTE_demand_forecast</vt:lpstr>
      <vt:lpstr>Current_SR</vt:lpstr>
      <vt:lpstr>SR_mission_minutes</vt:lpstr>
      <vt:lpstr>SR_demand_forecast</vt:lpstr>
      <vt:lpstr>Minutes_by_use_case</vt:lpstr>
      <vt:lpstr>Costs - SR</vt:lpstr>
      <vt:lpstr>Costs - DTE</vt:lpstr>
      <vt:lpstr>Scenarios</vt:lpstr>
      <vt:lpstr>DTE_cost_per_minute_forecast</vt:lpstr>
      <vt:lpstr>SR_cost_per_minute_forecast</vt:lpstr>
      <vt:lpstr>Lifespans</vt:lpstr>
      <vt:lpstr>Demand_forecast_by_use_case</vt:lpstr>
      <vt:lpstr>Demand_forecast_by_replacement</vt:lpstr>
      <vt:lpstr>DTE_cost_by_use_case</vt:lpstr>
      <vt:lpstr>SR_cost_by_use_case</vt:lpstr>
      <vt:lpstr>Aggregate_costs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Edward John Oughton</cp:lastModifiedBy>
  <dcterms:created xsi:type="dcterms:W3CDTF">2022-05-02T00:57:27Z</dcterms:created>
  <dcterms:modified xsi:type="dcterms:W3CDTF">2024-02-13T02:51:00Z</dcterms:modified>
</cp:coreProperties>
</file>